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3-24-1 - Stavební úpra..." sheetId="2" r:id="rId2"/>
    <sheet name="2013-24-2 - Zpevněná plocha" sheetId="3" r:id="rId3"/>
  </sheets>
  <definedNames/>
  <calcPr fullCalcOnLoad="1"/>
</workbook>
</file>

<file path=xl/sharedStrings.xml><?xml version="1.0" encoding="utf-8"?>
<sst xmlns="http://schemas.openxmlformats.org/spreadsheetml/2006/main" count="3995" uniqueCount="795">
  <si>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</si>
  <si>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</si>
  <si>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</si>
  <si>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</si>
  <si>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</si>
  <si>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</si>
  <si>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</si>
  <si>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</si>
  <si>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</si>
  <si>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</si>
  <si>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</si>
  <si>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</si>
  <si>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</si>
  <si>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</si>
  <si>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</si>
  <si>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</si>
  <si>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1</t>
  </si>
  <si>
    <t>Místo:</t>
  </si>
  <si>
    <t>Albrechtice n. Orl.</t>
  </si>
  <si>
    <t>Datum:</t>
  </si>
  <si>
    <t>18.09.2013</t>
  </si>
  <si>
    <t>10</t>
  </si>
  <si>
    <t>100</t>
  </si>
  <si>
    <t>Objednavatel:</t>
  </si>
  <si>
    <t>IČ:</t>
  </si>
  <si>
    <t>00579106</t>
  </si>
  <si>
    <t xml:space="preserve">Obec Albrechtice n. Orl. </t>
  </si>
  <si>
    <t>DIČ:</t>
  </si>
  <si>
    <t>Zhotovitel:</t>
  </si>
  <si>
    <t>Vyplň údaj</t>
  </si>
  <si>
    <t>Projektant:</t>
  </si>
  <si>
    <t>11073993</t>
  </si>
  <si>
    <t>Jan Malina</t>
  </si>
  <si>
    <t>True</t>
  </si>
  <si>
    <t>Zpracovatel:</t>
  </si>
  <si>
    <t>63614545</t>
  </si>
  <si>
    <t>Jaroslav Krunčík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</si>
  <si>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</si>
  <si>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</si>
  <si>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</si>
  <si>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</si>
  <si>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</si>
  <si>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</si>
  <si>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</si>
  <si>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</si>
  <si>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</si>
  <si>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</si>
  <si>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</si>
  <si>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</si>
  <si>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</si>
  <si>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</si>
  <si>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</si>
  <si>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</si>
  <si>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</si>
  <si>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</si>
  <si>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</si>
  <si>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</si>
  <si>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</si>
  <si>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</si>
  <si>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</si>
  <si>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</si>
  <si>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</si>
  <si>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</si>
  <si>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</si>
  <si>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</si>
  <si>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</si>
  <si>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</si>
  <si>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</si>
  <si>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</si>
  <si>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</si>
  <si>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</si>
  <si>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</si>
  <si>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</si>
  <si>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</si>
  <si>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</si>
  <si>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</si>
  <si>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</si>
  <si>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</si>
  <si>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</si>
  <si>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{3E636FD5-1523-4815-BCE9-99910C4C7B1D}</t>
  </si>
  <si>
    <t>{00000000-0000-0000-0000-000000000000}</t>
  </si>
  <si>
    <t>2013-24-1</t>
  </si>
  <si>
    <t>Stavební úpravy stodoly</t>
  </si>
  <si>
    <t>{06362573-0867-43F8-A68A-3C014E40E42F}</t>
  </si>
  <si>
    <t>2013-24-2</t>
  </si>
  <si>
    <t>Zpevněná plocha</t>
  </si>
  <si>
    <t>{C8648055-6F25-4C9C-AC37-66118A5C06A6}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</si>
  <si>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</si>
  <si>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</si>
  <si>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</si>
  <si>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</si>
  <si>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</si>
  <si>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</si>
  <si>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</si>
  <si>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</si>
  <si>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</si>
  <si>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</si>
  <si>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</si>
  <si>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</si>
  <si>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</si>
  <si>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</si>
  <si>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</si>
  <si>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</si>
  <si>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</si>
  <si>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</si>
  <si>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</si>
  <si>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</si>
  <si>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</si>
  <si>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</si>
  <si>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</si>
  <si>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</si>
  <si>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</si>
  <si>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</si>
  <si>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</si>
  <si>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</si>
  <si>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</si>
  <si>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</si>
  <si>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</si>
  <si>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</si>
  <si>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</si>
  <si>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</si>
  <si>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</si>
  <si>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</si>
  <si>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</si>
  <si>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</si>
  <si>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</si>
  <si>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731 - Ústřední vytápění - kotelny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</si>
  <si>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</si>
  <si>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</si>
  <si>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</si>
  <si>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</si>
  <si>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</si>
  <si>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</si>
  <si>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</si>
  <si>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</si>
  <si>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</si>
  <si>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</si>
  <si>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</si>
  <si>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</si>
  <si>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</si>
  <si>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</si>
  <si>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</si>
  <si>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</si>
  <si>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</si>
  <si>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</si>
  <si>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</si>
  <si>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</si>
  <si>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</si>
  <si>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</si>
  <si>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</si>
  <si>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</si>
  <si>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</si>
  <si>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</si>
  <si>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</si>
  <si>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</si>
  <si>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</si>
  <si>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</si>
  <si>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</si>
  <si>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</si>
  <si>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</si>
  <si>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</si>
  <si>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</si>
  <si>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149</t>
  </si>
  <si>
    <t>K</t>
  </si>
  <si>
    <t>131203101</t>
  </si>
  <si>
    <t>Hloubení jam ručním nebo pneum nářadím v soudržných horninách tř. 3</t>
  </si>
  <si>
    <t>m3</t>
  </si>
  <si>
    <t>4</t>
  </si>
  <si>
    <t>0,8*0,8*0,9</t>
  </si>
  <si>
    <t>VV</t>
  </si>
  <si>
    <t>150</t>
  </si>
  <si>
    <t>131203109</t>
  </si>
  <si>
    <t>Příplatek za lepivost u hloubení jam ručním nebo pneum nářadím v hornině tř. 3</t>
  </si>
  <si>
    <t>119</t>
  </si>
  <si>
    <t>132201101</t>
  </si>
  <si>
    <t>Hloubení rýh š do 600 mm v hornině tř. 3 objemu do 100 m3</t>
  </si>
  <si>
    <t>0,4*0,8*9,1   "vnitřní základ</t>
  </si>
  <si>
    <t>0,35*0,9*4,85  "vnější základ</t>
  </si>
  <si>
    <t>Součet</t>
  </si>
  <si>
    <t>120</t>
  </si>
  <si>
    <t>132201109</t>
  </si>
  <si>
    <t>Příplatek za lepivost k hloubení rýh š do 600 mm v hornině tř. 3</t>
  </si>
  <si>
    <t>121</t>
  </si>
  <si>
    <t>162601102</t>
  </si>
  <si>
    <t>Vodorovné přemístění do 5000 m výkopku/sypaniny z horniny tř. 1 až 4</t>
  </si>
  <si>
    <t>4,44+0,5776</t>
  </si>
  <si>
    <t>122</t>
  </si>
  <si>
    <t>171201201</t>
  </si>
  <si>
    <t>Uložení sypaniny na skládky</t>
  </si>
  <si>
    <t>123</t>
  </si>
  <si>
    <t>171201211</t>
  </si>
  <si>
    <t>Poplatek za uložení odpadu ze sypaniny na skládce (skládkovné)</t>
  </si>
  <si>
    <t>t</t>
  </si>
  <si>
    <t>5,018*1,7</t>
  </si>
  <si>
    <t>11</t>
  </si>
  <si>
    <t>175101201</t>
  </si>
  <si>
    <t>Obsypání objektů bez prohození sypaniny z hornin tř. 1 až 4 uloženým do 30 m od kraje objektu</t>
  </si>
  <si>
    <t>zasypání sklepa, zhutnění</t>
  </si>
  <si>
    <t>P</t>
  </si>
  <si>
    <t xml:space="preserve">(5,65+4,3)/2*1,25  </t>
  </si>
  <si>
    <t>24</t>
  </si>
  <si>
    <t>M</t>
  </si>
  <si>
    <t>583336520</t>
  </si>
  <si>
    <t>kamenivo těžené hrubé frakce 8-16</t>
  </si>
  <si>
    <t>8</t>
  </si>
  <si>
    <t>6,219*1,8</t>
  </si>
  <si>
    <t>13</t>
  </si>
  <si>
    <t>274313511</t>
  </si>
  <si>
    <t>Základové pásy z betonu tř. C 12/15</t>
  </si>
  <si>
    <t>0,45*0,9*8,3</t>
  </si>
  <si>
    <t>0,35*0,9*4,85</t>
  </si>
  <si>
    <t>151</t>
  </si>
  <si>
    <t>274351215</t>
  </si>
  <si>
    <t>Zřízení bednění stěn základových pasů</t>
  </si>
  <si>
    <t>m2</t>
  </si>
  <si>
    <t>0,15*8,5*2</t>
  </si>
  <si>
    <t>0,15*(4,85*2+0,35)</t>
  </si>
  <si>
    <t>152</t>
  </si>
  <si>
    <t>274351216</t>
  </si>
  <si>
    <t>Odstranění bednění stěn základových pasů</t>
  </si>
  <si>
    <t>14</t>
  </si>
  <si>
    <t>275313511</t>
  </si>
  <si>
    <t>Základové patky z betonu tř. C 12/15</t>
  </si>
  <si>
    <t>153</t>
  </si>
  <si>
    <t>275351215</t>
  </si>
  <si>
    <t>Zřízení bednění stěn základových patek</t>
  </si>
  <si>
    <t>0,15*0,8*4</t>
  </si>
  <si>
    <t>154</t>
  </si>
  <si>
    <t>275351216</t>
  </si>
  <si>
    <t>Odstranění bednění stěn základových patek</t>
  </si>
  <si>
    <t>111</t>
  </si>
  <si>
    <t>310238211</t>
  </si>
  <si>
    <t>Zazdívka otvorů pl do 1 m2 ve zdivu nadzákladovém cihlami pálenými na MVC</t>
  </si>
  <si>
    <t>0,15*2,2*2   "větrací  otvory</t>
  </si>
  <si>
    <t>18</t>
  </si>
  <si>
    <t>310239212</t>
  </si>
  <si>
    <t>Zazdívka otvorů pl do 4 m2 ve zdivu nadzákladovém cihlami pálenými Porotherm tl. 440 mm P10 na tenkovrst. maltu</t>
  </si>
  <si>
    <t>0,45*0,45*3,42*3   "vrata</t>
  </si>
  <si>
    <t>0,25*0,45*3,42*3</t>
  </si>
  <si>
    <t>0,45*1,1*2,05   "dveře</t>
  </si>
  <si>
    <t xml:space="preserve">0,45*(4*3,4-1*2,1-1,2*1,3)   "po vratech s dveřmi a oknem  </t>
  </si>
  <si>
    <t>155</t>
  </si>
  <si>
    <t>311238143</t>
  </si>
  <si>
    <t>Zdivo nosné vnitřní z cihel broušených POROTHERM tl 240 mm pevnosti P10 lepených tenkovrstvou maltou</t>
  </si>
  <si>
    <t>4,85*(5,1-0,25)+1*1/2    "požární zeď</t>
  </si>
  <si>
    <t>17</t>
  </si>
  <si>
    <t>311238144</t>
  </si>
  <si>
    <t>Zdivo nosné vnitřní z cihel broušených POROTHERM tl 300 mm pevnosti P10 lepených tenkovrstvou maltou</t>
  </si>
  <si>
    <t>3,5*8,3   "štítová zeď</t>
  </si>
  <si>
    <t>2*9,5</t>
  </si>
  <si>
    <t>0,25*10+10*4/2</t>
  </si>
  <si>
    <t>36</t>
  </si>
  <si>
    <t>317121251</t>
  </si>
  <si>
    <t>Montáž ŽB překladů prefabrikovaných do rýh světlosti otvoru do 1800 mm</t>
  </si>
  <si>
    <t>kus</t>
  </si>
  <si>
    <t>35</t>
  </si>
  <si>
    <t>593211010</t>
  </si>
  <si>
    <t>překlad železobetonový RZP 2/10 149x14x14 cm</t>
  </si>
  <si>
    <t>22</t>
  </si>
  <si>
    <t>317234410</t>
  </si>
  <si>
    <t>Vyzdívka mezi nosníky z cihel pálených na MC</t>
  </si>
  <si>
    <t>0,18*0,3*3,9*3</t>
  </si>
  <si>
    <t>317944323</t>
  </si>
  <si>
    <t>Válcované nosníky č.14 až 22 dodatečně osazované do připravených otvorů</t>
  </si>
  <si>
    <t>21,9*3,9*2*3/1000      "I č180 překlady</t>
  </si>
  <si>
    <t>37</t>
  </si>
  <si>
    <t>317998112</t>
  </si>
  <si>
    <t>Tepelná izolace mezi překlady v 24 cm z polystyrénu tl 70 mm</t>
  </si>
  <si>
    <t>m</t>
  </si>
  <si>
    <t>1,5*2*2</t>
  </si>
  <si>
    <t>23</t>
  </si>
  <si>
    <t>346244381</t>
  </si>
  <si>
    <t>Plentování jednostranné v do 200 mm válcovaných nosníků cihlami</t>
  </si>
  <si>
    <t>0,18*3,9*2*3  "I 180</t>
  </si>
  <si>
    <t>0,2*9*2</t>
  </si>
  <si>
    <t>163</t>
  </si>
  <si>
    <t>346244382</t>
  </si>
  <si>
    <t>Plentování jednostranné v do 300 mm válcovaných nosníků cihlami</t>
  </si>
  <si>
    <t>0,24*9,1*2</t>
  </si>
  <si>
    <t>49</t>
  </si>
  <si>
    <t>413231221</t>
  </si>
  <si>
    <t>Zazdívka zhlaví stropních trámů průřezu do 40000 mm2</t>
  </si>
  <si>
    <t>22  "dřevěné trámy</t>
  </si>
  <si>
    <t>27</t>
  </si>
  <si>
    <t>413232221</t>
  </si>
  <si>
    <t>Zazdívka zhlaví válcovaných nosníků v do 300 mm</t>
  </si>
  <si>
    <t>44</t>
  </si>
  <si>
    <t>417321313</t>
  </si>
  <si>
    <t>Ztužující pásy a věnce ze ŽB tř. C 16/20</t>
  </si>
  <si>
    <t>0,25*0,3*10+0,25*0,25*4,85    "V1</t>
  </si>
  <si>
    <t>0,3*0,3*9,2   "V1´</t>
  </si>
  <si>
    <t>0,3*0,2*9,5   "V2</t>
  </si>
  <si>
    <t>45</t>
  </si>
  <si>
    <t>417351115</t>
  </si>
  <si>
    <t>Zřízení bednění ztužujících věnců</t>
  </si>
  <si>
    <t>0,3*10*2+0,3*(4,85*2+0,25)  "V1</t>
  </si>
  <si>
    <t>0,3*9,2*2  "V1´</t>
  </si>
  <si>
    <t>0,2*9,5*2  "V2</t>
  </si>
  <si>
    <t>46</t>
  </si>
  <si>
    <t>417351116</t>
  </si>
  <si>
    <t>Odstranění bednění ztužujících věnců</t>
  </si>
  <si>
    <t>18,305</t>
  </si>
  <si>
    <t>47</t>
  </si>
  <si>
    <t>417361221</t>
  </si>
  <si>
    <t>Výztuž ztužujících pásů a věnců betonářskou ocelí 10 216</t>
  </si>
  <si>
    <t>0,222*(1,04*18*1,05/1000+1,04*4,85/0,25*1,05/1000)  "V1,04</t>
  </si>
  <si>
    <t>0,222*1,014*20*1,05/1000  "V1</t>
  </si>
  <si>
    <t>0,222*0,94*20*1,05/1000  "V2</t>
  </si>
  <si>
    <t>48</t>
  </si>
  <si>
    <t>417361821</t>
  </si>
  <si>
    <t>Výztuž ztužujících pásů a věnců betonářskou ocelí 10 505</t>
  </si>
  <si>
    <t>0,888*(10*4+4,85*4)*1,1/1000  "V1</t>
  </si>
  <si>
    <t>0,888*9,15*4*1,1/1000  "V1´</t>
  </si>
  <si>
    <t>0,888*5*8*1,1/1000   "V2</t>
  </si>
  <si>
    <t>164</t>
  </si>
  <si>
    <t>611142012</t>
  </si>
  <si>
    <t>Potažení vnitřních stropů rabicovým pletivem</t>
  </si>
  <si>
    <t>(0,24*2+0,14)*9,1</t>
  </si>
  <si>
    <t>165</t>
  </si>
  <si>
    <t>611321142</t>
  </si>
  <si>
    <t>Vápenocementová omítka štuková dvouvrstvá vnitřních stropů žebrových nanášená ručně</t>
  </si>
  <si>
    <t>109</t>
  </si>
  <si>
    <t>612131101</t>
  </si>
  <si>
    <t>Cementový postřik vnitřních stěn nanášený celoplošně ručně</t>
  </si>
  <si>
    <t>3,7*(9*2+4,0875*2)-3,3*3-1,05*2-1,2*1,3+1</t>
  </si>
  <si>
    <t>3,7*(9,1+8,66*2+0,3*4)-3,3*2</t>
  </si>
  <si>
    <t>110</t>
  </si>
  <si>
    <t>612321141</t>
  </si>
  <si>
    <t>Vápenocementová omítka štuková dvouvrstvá vnitřních stěn nanášená ručně</t>
  </si>
  <si>
    <t>3,7*(9*2+4,0875*2)-3,3*3-1,05*2-1,2*1,3+1 "garáž, sklad</t>
  </si>
  <si>
    <t>3,7*(9,1*2+8,66*2+0,3*4)-3,3*2</t>
  </si>
  <si>
    <t>9*4,5+9*0,85+9,5*5,5/2*2  "zbývající část požárního štítu</t>
  </si>
  <si>
    <t>28</t>
  </si>
  <si>
    <t>615142012</t>
  </si>
  <si>
    <t>Potažení vnitřních nosníků rabicovým pletivem</t>
  </si>
  <si>
    <t>(0,25*2+0,5)*3,9*3  "I 180</t>
  </si>
  <si>
    <t>(0,25*2+0,12)*9   "I 200</t>
  </si>
  <si>
    <t>135</t>
  </si>
  <si>
    <t>619991011</t>
  </si>
  <si>
    <t>Obalení konstrukcí a prvků fólií přilepenou lepící páskou</t>
  </si>
  <si>
    <t>3,3*3*3+1,05*2,1+1,2*1,3</t>
  </si>
  <si>
    <t>104</t>
  </si>
  <si>
    <t>622131101</t>
  </si>
  <si>
    <t>Cementový postřik vnějších stěn nanášený celoplošně ručně</t>
  </si>
  <si>
    <t>14,36*5,75*2</t>
  </si>
  <si>
    <t>-3,3*3,3*3-1,1*2,25</t>
  </si>
  <si>
    <t>0,45*(3,3*3*3)</t>
  </si>
  <si>
    <t>0,15*(1,05+2,1*2)</t>
  </si>
  <si>
    <t>0,15*(1,2+1,3)*2</t>
  </si>
  <si>
    <t>105</t>
  </si>
  <si>
    <t>622323111</t>
  </si>
  <si>
    <t>Vápenocementová omítka hladkých vnějších stěn tloušťky do 5 mm nanášená ručně</t>
  </si>
  <si>
    <t>136</t>
  </si>
  <si>
    <t>622323191</t>
  </si>
  <si>
    <t>Příplatek k vápenocementové omítce hladkých vnějších stěn za každý další 1 mm tloušťky ručně</t>
  </si>
  <si>
    <t>144,898*20</t>
  </si>
  <si>
    <t>156</t>
  </si>
  <si>
    <t>622331141</t>
  </si>
  <si>
    <t>Cementová omítka štuková dvouvrstvá vnějších stěn nanášená ručně</t>
  </si>
  <si>
    <t>(4,85*(5,1-0,25)+1*1/2)*2   "požární zeď</t>
  </si>
  <si>
    <t>0,25*5,1</t>
  </si>
  <si>
    <t>107</t>
  </si>
  <si>
    <t>622511101</t>
  </si>
  <si>
    <t>Tenkovrstvá akrylátová mozaiková jemnozrnná omítka včetně penetrace vnějších stěn</t>
  </si>
  <si>
    <t>0,4*(14,36*2-3,3*3-1,05+0,45*2*3)</t>
  </si>
  <si>
    <t>106</t>
  </si>
  <si>
    <t>622521011</t>
  </si>
  <si>
    <t>Tenkovrstvá silikátová zrnitá omítka tl. 1,5 mm včetně penetrace vnějších stěn</t>
  </si>
  <si>
    <t>14,36*(5,75-0,4)*2   "Zdivo</t>
  </si>
  <si>
    <t>108</t>
  </si>
  <si>
    <t>629991001</t>
  </si>
  <si>
    <t>Zakrytí podélných ploch fólií volně položenou</t>
  </si>
  <si>
    <t>3,3*3+1,05*2,1+1,2*1,3</t>
  </si>
  <si>
    <t>93</t>
  </si>
  <si>
    <t>629995101</t>
  </si>
  <si>
    <t>Očištění vnějších ploch tlakovou vodou</t>
  </si>
  <si>
    <t>78,6+44,3  "podlaha před betonáží</t>
  </si>
  <si>
    <t>25</t>
  </si>
  <si>
    <t>631311124</t>
  </si>
  <si>
    <t>Mazanina tl do 120 mm z betonu prostého tř. C 16/20</t>
  </si>
  <si>
    <t>0,18*(4,5*9,1)   "prostor sklepa</t>
  </si>
  <si>
    <t>0,12*(78,6+44,3)</t>
  </si>
  <si>
    <t>40</t>
  </si>
  <si>
    <t>631319022</t>
  </si>
  <si>
    <t>Příplatek k mazanině tl do 120 mm za přehlazení s poprášením cementem</t>
  </si>
  <si>
    <t>0,12*(78,6+44,3)  "garáž, sklad</t>
  </si>
  <si>
    <t>16</t>
  </si>
  <si>
    <t>631319173</t>
  </si>
  <si>
    <t>Příplatek k mazanině tl do 120 mm za stržení povrchu spodní vrstvy před vložením výztuže</t>
  </si>
  <si>
    <t>0,18*(4,5*9,1)*2   "prostor sklepa</t>
  </si>
  <si>
    <t>0,12*(78,6+44,3)   "gAráž, sklad</t>
  </si>
  <si>
    <t>26</t>
  </si>
  <si>
    <t>631362021</t>
  </si>
  <si>
    <t>Výztuž mazanin svařovanými sítěmi Kari</t>
  </si>
  <si>
    <t>5,267*(3,2*4,3+2,5*2,5)*2*1,25/1000   "prostor sklepa</t>
  </si>
  <si>
    <t>3,014*(78,6+44,3)*1,2/1000  "garáž, sklad</t>
  </si>
  <si>
    <t>59</t>
  </si>
  <si>
    <t>632451022</t>
  </si>
  <si>
    <t>Vyrovnávací potěr tl do 30 mm z MC 15 provedený v pásu</t>
  </si>
  <si>
    <t>0,3*7,5*2   "pod plechování štítu</t>
  </si>
  <si>
    <t>0,24*4,85  "požární zeď</t>
  </si>
  <si>
    <t>41</t>
  </si>
  <si>
    <t>632481213</t>
  </si>
  <si>
    <t>Separační vrstva z PE fólie</t>
  </si>
  <si>
    <t>78,6+44,3</t>
  </si>
  <si>
    <t>42</t>
  </si>
  <si>
    <t>633991111</t>
  </si>
  <si>
    <t>Nástřik betonových povrchů proti odpařování vody</t>
  </si>
  <si>
    <t>78,6+44,2</t>
  </si>
  <si>
    <t>43</t>
  </si>
  <si>
    <t>634111115</t>
  </si>
  <si>
    <t>Obvodová dilatace pružnou těsnicí páskou v 120 mm mezi stěnou a mazaninou</t>
  </si>
  <si>
    <t>9,1*2+8,66*2+0,45*4</t>
  </si>
  <si>
    <t>4,875*2+9,1*2</t>
  </si>
  <si>
    <t>-3,3*3-1,05</t>
  </si>
  <si>
    <t>125</t>
  </si>
  <si>
    <t>634661111</t>
  </si>
  <si>
    <t>Výplň dilatačních spár š do 5 mm v mazaninách silikonovým tmelem</t>
  </si>
  <si>
    <t>9,1+8,66+4,875</t>
  </si>
  <si>
    <t>126</t>
  </si>
  <si>
    <t>634911113</t>
  </si>
  <si>
    <t>Řezání dilatačních spár š 5 mm hl do 50 mm v čerstvé betonové mazanině</t>
  </si>
  <si>
    <t>112</t>
  </si>
  <si>
    <t>644941111</t>
  </si>
  <si>
    <t>Osazování ventilačních mřížek velikosti do 150 x 150 mm</t>
  </si>
  <si>
    <t>113</t>
  </si>
  <si>
    <t>553414100</t>
  </si>
  <si>
    <t>průvětrník mřížový s klapkami 15x15 cm</t>
  </si>
  <si>
    <t>9</t>
  </si>
  <si>
    <t>919735123</t>
  </si>
  <si>
    <t>Řezání stávajícího betonového krytu hl do 150 mm</t>
  </si>
  <si>
    <t>8,25*2  "pod štít. zeď</t>
  </si>
  <si>
    <t>0,75*4   "pro patku</t>
  </si>
  <si>
    <t>143</t>
  </si>
  <si>
    <t>941111111</t>
  </si>
  <si>
    <t>Montáž lešení řadového trubkového lehkého s podlahami zatížení do 200 kg/m2 š do 0,9 m v do 10 m</t>
  </si>
  <si>
    <t>14,36*5*2   "vnější omítka</t>
  </si>
  <si>
    <t>3*(8,66*2+4,875*2+9,1*3)   "vnitřní omítky</t>
  </si>
  <si>
    <t>140</t>
  </si>
  <si>
    <t>941111121</t>
  </si>
  <si>
    <t>Montáž lešení řadového trubkového lehkého s podlahami zatížení do 200 kg/m2 š do 1,2 m v do 10 m</t>
  </si>
  <si>
    <t>(9*6+9*4/2)*2</t>
  </si>
  <si>
    <t>145</t>
  </si>
  <si>
    <t>941111211</t>
  </si>
  <si>
    <t>Příplatek k lešení řadovému trubkovému lehkému s podlahami š 0,9 m v 10 m za první a ZKD den použití</t>
  </si>
  <si>
    <t>14,36*5*2*45   "vnější omítka</t>
  </si>
  <si>
    <t>3*(8,66*2+4,875*2+9,1*3)*14   "vnitřní omítky</t>
  </si>
  <si>
    <t>141</t>
  </si>
  <si>
    <t>941111221</t>
  </si>
  <si>
    <t>Příplatek k lešení řadovému trubkovému lehkému s podlahami š 1,2 m v 10 m za první a ZKD den použití</t>
  </si>
  <si>
    <t>72*45*2</t>
  </si>
  <si>
    <t>147</t>
  </si>
  <si>
    <t>941111811</t>
  </si>
  <si>
    <t>Demontáž lešení řadového trubkového lehkého s podlahami zatížení do 200 kg/m2 š do 0,9 m v do 10 m</t>
  </si>
  <si>
    <t>142</t>
  </si>
  <si>
    <t>941111821</t>
  </si>
  <si>
    <t>Demontáž lešení řadového trubkového lehkého s podlahami zatížení do 200 kg/m2 š do 1,2 m v do 10 m</t>
  </si>
  <si>
    <t>72*2</t>
  </si>
  <si>
    <t>144</t>
  </si>
  <si>
    <t>946111112</t>
  </si>
  <si>
    <t>Montáž pojízdných věží trubkových/dílcových š do 0,9 m dl do 3,2 m v do 2,5 m</t>
  </si>
  <si>
    <t>2   "sádrokarton</t>
  </si>
  <si>
    <t>146</t>
  </si>
  <si>
    <t>946111212</t>
  </si>
  <si>
    <t>Příplatek k pojízdným věžím š do 0,9 m dl do 3,2 m v do 2,5 m za první a ZKD den použití</t>
  </si>
  <si>
    <t>2*14</t>
  </si>
  <si>
    <t>148</t>
  </si>
  <si>
    <t>946111812</t>
  </si>
  <si>
    <t>Demontáž pojízdných věží trubkových/dílcových š do 0,9 m dl do 3,2 m v do 2,5 m</t>
  </si>
  <si>
    <t>91</t>
  </si>
  <si>
    <t>952901221</t>
  </si>
  <si>
    <t>Vyčištění budov průmyslových objektů při jakékoliv výšce podlaží</t>
  </si>
  <si>
    <t>33</t>
  </si>
  <si>
    <t>953961114</t>
  </si>
  <si>
    <t>Kotvy chemickým tmelem M 16 hl 125 mm do betonu, ŽB nebo kamene s vyvrtáním otvoru</t>
  </si>
  <si>
    <t>ocelový sloup</t>
  </si>
  <si>
    <t>7</t>
  </si>
  <si>
    <t>962032231</t>
  </si>
  <si>
    <t>Bourání zdiva z cihel pálených nebo vápenopískových na MV nebo MVC</t>
  </si>
  <si>
    <t>0,45*0,3*(4,75+2,9)   "sklep</t>
  </si>
  <si>
    <t>0,3*(2,2+1,3)/2*2,1</t>
  </si>
  <si>
    <t>0,3*2,2*2,7   "otvor garáž</t>
  </si>
  <si>
    <t>6</t>
  </si>
  <si>
    <t>963031434</t>
  </si>
  <si>
    <t>Bourání cihelných kleneb na MV nebo MVC tl do 300 mm</t>
  </si>
  <si>
    <t>(2,9+0,45)*(4,3+0,43*2)+2,3*(2,3+1,2)</t>
  </si>
  <si>
    <t>965042231</t>
  </si>
  <si>
    <t>Bourání podkladů pod dlažby nebo mazanin betonových nebo z litého asfaltu tl přes 100 mm pl do 4 m2</t>
  </si>
  <si>
    <t>0,15*0,45*8,25   "pod štít. zdí</t>
  </si>
  <si>
    <t>0,15*0,75*0,75   "patka</t>
  </si>
  <si>
    <t>5</t>
  </si>
  <si>
    <t>968062456</t>
  </si>
  <si>
    <t>Vybourání dřevěných dveřních zárubní pl přes 2 m2</t>
  </si>
  <si>
    <t>1,1*1,95</t>
  </si>
  <si>
    <t>92</t>
  </si>
  <si>
    <t>973031325</t>
  </si>
  <si>
    <t>Vysekání kapes ve zdivu cihelném na MV nebo MVC pl do 0,10 m2 hl do 300 mm</t>
  </si>
  <si>
    <t>11   "stropní trámy</t>
  </si>
  <si>
    <t>19</t>
  </si>
  <si>
    <t>973031844</t>
  </si>
  <si>
    <t>Vysekání kapes ve zdivu cihelném na MC pro zavázání zdí tl do 300 mm</t>
  </si>
  <si>
    <t>5,7*2  "štít. zeď</t>
  </si>
  <si>
    <t>20</t>
  </si>
  <si>
    <t>973031845</t>
  </si>
  <si>
    <t>Vysekání kapes ve zdivu cihelném na MC pro zavázání zdí tl do 450 mm</t>
  </si>
  <si>
    <t>3,3*8   "pilíře a dozdívky ve vratech</t>
  </si>
  <si>
    <t>12</t>
  </si>
  <si>
    <t>974031167</t>
  </si>
  <si>
    <t>Vysekání rýh ve zdivu cihelném hl do 150 mm š do 300 mm</t>
  </si>
  <si>
    <t>0,45*0,65*4*3    "nad vraty</t>
  </si>
  <si>
    <t>102</t>
  </si>
  <si>
    <t>978015391</t>
  </si>
  <si>
    <t>Otlučení vnějších omítek MV nebo MVC  průčelí v rozsahu do 100 %</t>
  </si>
  <si>
    <t>95</t>
  </si>
  <si>
    <t>997006512</t>
  </si>
  <si>
    <t>Vodorovné doprava suti s naložením a složením na skládku do 1 km</t>
  </si>
  <si>
    <t>3</t>
  </si>
  <si>
    <t>94</t>
  </si>
  <si>
    <t>997006519</t>
  </si>
  <si>
    <t>Příplatek k vodorovnému přemístění suti na skládkui ZKD 1 km přes 1 km</t>
  </si>
  <si>
    <t>29-7,971*5</t>
  </si>
  <si>
    <t>134</t>
  </si>
  <si>
    <t>997013003</t>
  </si>
  <si>
    <t>Vyklizení sena a uvolněníé prostorů výšky do 10 m, likvidace odpadu na skládce</t>
  </si>
  <si>
    <t>so</t>
  </si>
  <si>
    <t>96</t>
  </si>
  <si>
    <t>997013803</t>
  </si>
  <si>
    <t>Poplatek za uložení stavebního odpadu z keramických materiálů na skládce (skládkovné)</t>
  </si>
  <si>
    <t>90</t>
  </si>
  <si>
    <t>998017002</t>
  </si>
  <si>
    <t>Přesun hmot s omezením mechanizace pro budovy v do 12 m</t>
  </si>
  <si>
    <t>127</t>
  </si>
  <si>
    <t>711111001</t>
  </si>
  <si>
    <t>Provedení izolace proti zemní vlhkosti vodorovné za studena nátěrem penetračním</t>
  </si>
  <si>
    <t>0,4*9,1</t>
  </si>
  <si>
    <t>0,35*4,85</t>
  </si>
  <si>
    <t>128</t>
  </si>
  <si>
    <t>111631500</t>
  </si>
  <si>
    <t>lak asfaltový ALP/9 bal 9 kg</t>
  </si>
  <si>
    <t>32</t>
  </si>
  <si>
    <t>Spotřeba 0,3-0,4kg/m2 dle povrchu, ředidlo technický benzín</t>
  </si>
  <si>
    <t>129</t>
  </si>
  <si>
    <t>711141559</t>
  </si>
  <si>
    <t>Provedení izolace proti zemní vlhkosti pásy přitavením vodorovné NAIP</t>
  </si>
  <si>
    <t>130</t>
  </si>
  <si>
    <t>628331590</t>
  </si>
  <si>
    <t>pás těžký asfaltovaný SKLOBIT 40 MINERAL G 200 S40</t>
  </si>
  <si>
    <t>131</t>
  </si>
  <si>
    <t>998711101</t>
  </si>
  <si>
    <t>Přesun hmot tonážní pro izolace proti vodě, vlhkosti a plynům v objektech výšky do 6 m</t>
  </si>
  <si>
    <t>83</t>
  </si>
  <si>
    <t>713111121</t>
  </si>
  <si>
    <t>Montáž izolace tepelné spodem stropů s uchycením drátem rohoží, pásů, dílců, desek</t>
  </si>
  <si>
    <t>(78,6+44,3+0,3*9,5)*2</t>
  </si>
  <si>
    <t>84</t>
  </si>
  <si>
    <t>631481120</t>
  </si>
  <si>
    <t>deska minerální izolační ORSTROP 600x1200 mm tl.100 mm</t>
  </si>
  <si>
    <t>132</t>
  </si>
  <si>
    <t>713131151</t>
  </si>
  <si>
    <t>Montáž izolace tepelné stěn a základů volně vloženými rohožemi, pásy, dílci, deskami 1 vrstva</t>
  </si>
  <si>
    <t>9,5*0,3  "ztužujiící pás</t>
  </si>
  <si>
    <t>133</t>
  </si>
  <si>
    <t>283759330</t>
  </si>
  <si>
    <t>deska fasádní polystyrénová EPS 70 F 1000 x 500 x 50 mm</t>
  </si>
  <si>
    <t>85</t>
  </si>
  <si>
    <t>713191114</t>
  </si>
  <si>
    <t>Montáž izolace tepelné podlah, stropů vrchem nebo střech překrytí pásem asfaltovým položeným volně</t>
  </si>
  <si>
    <t>86</t>
  </si>
  <si>
    <t>628220060</t>
  </si>
  <si>
    <t>pás asfaltovaný V13</t>
  </si>
  <si>
    <t>87</t>
  </si>
  <si>
    <t>713191133</t>
  </si>
  <si>
    <t>Montáž izolace tepelné podlah, stropů vrchem nebo střech překrytí fólií s přelepeným spojem</t>
  </si>
  <si>
    <t>(78,6+44,3)*2</t>
  </si>
  <si>
    <t>88</t>
  </si>
  <si>
    <t>283292760</t>
  </si>
  <si>
    <t>folie nehořlavá parotěsná JUTAFOL N Speciál 140 g/m2</t>
  </si>
  <si>
    <t>89</t>
  </si>
  <si>
    <t>998713101</t>
  </si>
  <si>
    <t>Přesun hmot tonážní tonážní pro izolace tepelné v objektech v do 6 m</t>
  </si>
  <si>
    <t>Položkový rozpis je přiložen u části PD vytápění</t>
  </si>
  <si>
    <t>38</t>
  </si>
  <si>
    <t>761114111</t>
  </si>
  <si>
    <t>Stěna zděná ze skleněných tvárnic 190x190x100 mm bezbarvých lesklých dezén mřížka</t>
  </si>
  <si>
    <t>1,2*1,3</t>
  </si>
  <si>
    <t>39</t>
  </si>
  <si>
    <t>998761101</t>
  </si>
  <si>
    <t>Přesun hmot tonážní pro konstrukce sklobetonové v objektech v do 6 m</t>
  </si>
  <si>
    <t>52</t>
  </si>
  <si>
    <t>762332132</t>
  </si>
  <si>
    <t>Montáž vázaných kcí krovů pravidelných z hraněného řeziva průřezové plochy do 224 cm2</t>
  </si>
  <si>
    <t>7,5*4</t>
  </si>
  <si>
    <t>53</t>
  </si>
  <si>
    <t>605120112</t>
  </si>
  <si>
    <t>řezivo jehličnaté hranol jakost I 120/140</t>
  </si>
  <si>
    <t>včetně preventivního chemického ošetření (Bochemit nebo Lignofix)</t>
  </si>
  <si>
    <t>0,12*0,14*7,5*4*1,08   "krokve - 2 páry</t>
  </si>
  <si>
    <t>62</t>
  </si>
  <si>
    <t>762332932</t>
  </si>
  <si>
    <t>Montáž doplnění části střešní vazby z hranolů průřezové plochy do 224 cm2</t>
  </si>
  <si>
    <t>oprava krokví příložkami</t>
  </si>
  <si>
    <t>7,5*5*2</t>
  </si>
  <si>
    <t>63</t>
  </si>
  <si>
    <t>605120030</t>
  </si>
  <si>
    <t>řezivo jehličnaté hranol jakost II do 120 cm2</t>
  </si>
  <si>
    <t>7,5*2*5*0,1*0,14*1,08   "odhad 5 párů krokví</t>
  </si>
  <si>
    <t>58</t>
  </si>
  <si>
    <t>762341250</t>
  </si>
  <si>
    <t>Montáž bednění střech rovných a šikmých sklonu do 60° z hoblovaných prken</t>
  </si>
  <si>
    <t>použít demontovaná prkna</t>
  </si>
  <si>
    <t>2*1,4*2</t>
  </si>
  <si>
    <t>57</t>
  </si>
  <si>
    <t>762341811</t>
  </si>
  <si>
    <t>Demontáž bednění střech z prken</t>
  </si>
  <si>
    <t>54</t>
  </si>
  <si>
    <t>762341914</t>
  </si>
  <si>
    <t>Vyřezání části laťování střech průřezu latí do 25 cm2 plochy jednotlivě přes 4 m2</t>
  </si>
  <si>
    <t>2*7,5*2</t>
  </si>
  <si>
    <t>55</t>
  </si>
  <si>
    <t>762342214</t>
  </si>
  <si>
    <t>Montáž laťování na střechách jednoduchých sklonu do 60° osové vzdálenosti do 360 mm</t>
  </si>
  <si>
    <t>56</t>
  </si>
  <si>
    <t>605141010</t>
  </si>
  <si>
    <t>řezivo jehličnaté lať jakost I 60/40 mm</t>
  </si>
  <si>
    <t>včetně chemického ošetření máčením</t>
  </si>
  <si>
    <t>(7,5/0,28*2)*2*2*0,04*0,06*1,080</t>
  </si>
  <si>
    <t>762631803</t>
  </si>
  <si>
    <t>Demontáž vrat plochy přes 8 m2 včetně kování</t>
  </si>
  <si>
    <t>4*3,45*2+4*3,4*2</t>
  </si>
  <si>
    <t>762711830</t>
  </si>
  <si>
    <t>Demontáž prostorových vázaných kcí z hraněného řeziva průřezové plochy do 288 cm2</t>
  </si>
  <si>
    <t>3,3*4   "svislé sloupky 150x150</t>
  </si>
  <si>
    <t>7,5*2   "1pár krokví</t>
  </si>
  <si>
    <t>50</t>
  </si>
  <si>
    <t>762822130</t>
  </si>
  <si>
    <t>Montáž stropního trámu z hraněného řeziva průřezové plochy do 450 cm2 s výměnami</t>
  </si>
  <si>
    <t>4,7*12+4,8*11+5,2*11  "výkr. č. 10</t>
  </si>
  <si>
    <t>51</t>
  </si>
  <si>
    <t>605121350</t>
  </si>
  <si>
    <t>řezivo stavební hranol průřezu 180 x 220 délka do 5,50 m</t>
  </si>
  <si>
    <t>řezivo včetně preventivního chemického ošetření máčením (Bochemit nebo Lignofix)
o použití stávajícho materiálu (trámů)  se rozhodne po jejijch demontáži</t>
  </si>
  <si>
    <t>0,18*0,22*(5,2*11)*1,08  "upravená statika + schéma</t>
  </si>
  <si>
    <t>157</t>
  </si>
  <si>
    <t>605121400</t>
  </si>
  <si>
    <t>řezivo stavební hranolek průřezu přes 140 x 220 mm délka do 5,00 m</t>
  </si>
  <si>
    <t>0,14*0,22*(4,7*11+4,8*12)*1,08   "upravená statika + schéma</t>
  </si>
  <si>
    <t>762822830</t>
  </si>
  <si>
    <t>Demontáž stropních trámů z hraněného řeziva průřezové plochy do 450 cm2</t>
  </si>
  <si>
    <t>8,96*11+5,1*11+10</t>
  </si>
  <si>
    <t>158</t>
  </si>
  <si>
    <t>762841230</t>
  </si>
  <si>
    <t>Montáž podbíjení stropů a střech vodorovných z hoblovaných prken na pero a drážku</t>
  </si>
  <si>
    <t>9,1*(0,2+8,66+0,3+4,875+0,3)</t>
  </si>
  <si>
    <t>159</t>
  </si>
  <si>
    <t>611899910</t>
  </si>
  <si>
    <t>palubky podlahové smrk 28 x 146 mm C</t>
  </si>
  <si>
    <t>160</t>
  </si>
  <si>
    <t>762895000</t>
  </si>
  <si>
    <t>Spojovací prostředky pro montáž záklopu, stropnice a podbíjení</t>
  </si>
  <si>
    <t>130,449*0,028</t>
  </si>
  <si>
    <t>82</t>
  </si>
  <si>
    <t>998762102</t>
  </si>
  <si>
    <t>Přesun hmot tonážní pro kce tesařské v objektech v do 12 m</t>
  </si>
  <si>
    <t>78</t>
  </si>
  <si>
    <t>763131414</t>
  </si>
  <si>
    <t>SDK podhled desky 1xA 15 bez TI dvouvrstvá spodní kce profil CD+UD</t>
  </si>
  <si>
    <t>Upozornění: požární odolnost podhledu upřesnit dle Požárně Bezečnostního Řešení (dodatečně  zpracováno)</t>
  </si>
  <si>
    <t>79</t>
  </si>
  <si>
    <t>998763100</t>
  </si>
  <si>
    <t>Přesun hmot tonážní pro dřevostavby v objektech v do 6 m</t>
  </si>
  <si>
    <t>115</t>
  </si>
  <si>
    <t>764352205</t>
  </si>
  <si>
    <t>Žlab Pz podokapní půlkruhový rš 400 mm</t>
  </si>
  <si>
    <t>137</t>
  </si>
  <si>
    <t>764430330</t>
  </si>
  <si>
    <t>Oplechování Al tl 0,8 mm zdí rš 400 mm včetně rohů</t>
  </si>
  <si>
    <t>7,5*2</t>
  </si>
  <si>
    <t>138</t>
  </si>
  <si>
    <t>764430340</t>
  </si>
  <si>
    <t>Oplechování Al tl 0,8 mm zdí rš 500 mm včetně rohů</t>
  </si>
  <si>
    <t>7,5*4*2</t>
  </si>
  <si>
    <t>114</t>
  </si>
  <si>
    <t>764454203</t>
  </si>
  <si>
    <t>Odpadní trouby Pz kruhové D 120 mm</t>
  </si>
  <si>
    <t>98</t>
  </si>
  <si>
    <t>764711115</t>
  </si>
  <si>
    <t>Oplechování parapetu Lindab rš 330 mm</t>
  </si>
  <si>
    <t>162</t>
  </si>
  <si>
    <t>764731115</t>
  </si>
  <si>
    <t>Oplechování zdí Lindab rš 500 mm</t>
  </si>
  <si>
    <t>4,5   "požární zeď</t>
  </si>
  <si>
    <t>97</t>
  </si>
  <si>
    <t>998764102</t>
  </si>
  <si>
    <t>Přesun hmot tonážní pro konstrukce klempířské v objektech v do 12 m</t>
  </si>
  <si>
    <t>80</t>
  </si>
  <si>
    <t>766231113</t>
  </si>
  <si>
    <t>Montáž sklápěcích půdních schodů</t>
  </si>
  <si>
    <t>81</t>
  </si>
  <si>
    <t>612331620</t>
  </si>
  <si>
    <t>schody skládací dřevěné  THERM 130 x 70 cm, pro výšku 320 cm, 12 schodnic</t>
  </si>
  <si>
    <t>Schodiště se zateplením  (Pozor: požární odolnost stanoví PBŘ - zatím není zpracováno)</t>
  </si>
  <si>
    <t>766660002</t>
  </si>
  <si>
    <t>Montáž dveřních křídel otvíravých 1křídlových š přes 0,8 m do ocelové zárubně</t>
  </si>
  <si>
    <t>101</t>
  </si>
  <si>
    <t>611441640</t>
  </si>
  <si>
    <t>dveře plastové vchodové 80x197 cm</t>
  </si>
  <si>
    <t>766691915</t>
  </si>
  <si>
    <t>Vyvěšení nebo zavěšení dřevěných křídel dveří pl přes 2 m2</t>
  </si>
  <si>
    <t>99</t>
  </si>
  <si>
    <t>998766101</t>
  </si>
  <si>
    <t>Přesun hmot tonážní pro konstrukce truhlářské v objektech v do 6 m</t>
  </si>
  <si>
    <t>65</t>
  </si>
  <si>
    <t>767391112</t>
  </si>
  <si>
    <t>Montáž krytin střech plechových tvarovaných šroubováním</t>
  </si>
  <si>
    <t>použít a upravit demontovaný plech</t>
  </si>
  <si>
    <t>64</t>
  </si>
  <si>
    <t>767392802</t>
  </si>
  <si>
    <t>Demontáž krytin střech z plechů šroubovaných</t>
  </si>
  <si>
    <t>73</t>
  </si>
  <si>
    <t>767651113</t>
  </si>
  <si>
    <t>Montáž vrat garážových sekčních zajížděcích pod strop plochy do 13 m2</t>
  </si>
  <si>
    <t>74</t>
  </si>
  <si>
    <t>553458700</t>
  </si>
  <si>
    <t>vrata garážová sekční zateplená lamelová 3300 x 3300 mm</t>
  </si>
  <si>
    <t>75</t>
  </si>
  <si>
    <t>553458850</t>
  </si>
  <si>
    <t>příslušenství garážových vrat dálkové ovládání 2 kanály</t>
  </si>
  <si>
    <t>71</t>
  </si>
  <si>
    <t>767651126</t>
  </si>
  <si>
    <t>Montáž vrat garážových sekčních elektrického stropního pohonu</t>
  </si>
  <si>
    <t>72</t>
  </si>
  <si>
    <t>553458780</t>
  </si>
  <si>
    <t>příslušenství garážových vrat pohon stropní elektrický nad 6 m2 TIR 120</t>
  </si>
  <si>
    <t>76</t>
  </si>
  <si>
    <t>767651230</t>
  </si>
  <si>
    <t>Montáž vrat garážových otočných do ocelové zárubně plochy do 13 m2</t>
  </si>
  <si>
    <t>77</t>
  </si>
  <si>
    <t>553446390</t>
  </si>
  <si>
    <t>vrata ocelová STK 74 6616 330x330 cm 2/2 křídlová otočná s rámem se zateplením, se zajištěním v otevř. poloze</t>
  </si>
  <si>
    <t>29</t>
  </si>
  <si>
    <t>767995116</t>
  </si>
  <si>
    <t>Montáž atypických ocelových konstrukcí nad 100 kg</t>
  </si>
  <si>
    <t>kg</t>
  </si>
  <si>
    <t>včetně základního nátěru vodou ředitelnou barvou</t>
  </si>
  <si>
    <t>31,5*3,4    "sloup pr. 219x6</t>
  </si>
  <si>
    <t>82,5*0,3*0,3+82,5*0,3*0,2   "plotny tl. 10 mm</t>
  </si>
  <si>
    <t>30,7*10   "ocel IPE 240</t>
  </si>
  <si>
    <t>30</t>
  </si>
  <si>
    <t>142212910</t>
  </si>
  <si>
    <t>trubka ocelová bezešvá hladká kruhová ČSN 411353.1 D219 tl 6,3 mm</t>
  </si>
  <si>
    <t>Hmotnost: 33,047 kg/m
Rozměry ověřit na stavbě</t>
  </si>
  <si>
    <t>3,46</t>
  </si>
  <si>
    <t>161</t>
  </si>
  <si>
    <t>134827250</t>
  </si>
  <si>
    <t>tyč ocelová IPE, jakost S 235 JR označení průřezu 240</t>
  </si>
  <si>
    <t>Hmotnost: 30,7 kg/m</t>
  </si>
  <si>
    <t>30,7*10*1,02/1000</t>
  </si>
  <si>
    <t>31</t>
  </si>
  <si>
    <t>136112280</t>
  </si>
  <si>
    <t>plech tlustý hladký jakost S 235 JR, 10x1000x2000 mm</t>
  </si>
  <si>
    <t>82,5*(0,3*0,3+0,2*0,3)*1,01/1000</t>
  </si>
  <si>
    <t>66</t>
  </si>
  <si>
    <t>998767102</t>
  </si>
  <si>
    <t>Přesun hmot tonážní pro zámečnické konstrukce v objektech v do 12 m</t>
  </si>
  <si>
    <t>783195111</t>
  </si>
  <si>
    <t>Nátěry vodou ředitelné OK těžkých "A" barva standardní lesklý povrch 1x antikorozní, 1x email</t>
  </si>
  <si>
    <t>3,14* 0,219*3,4 "ocel. sloup</t>
  </si>
  <si>
    <t>VP - Vícepráce</t>
  </si>
  <si>
    <t>PN</t>
  </si>
  <si>
    <t xml:space="preserve">    5 - Komunikace</t>
  </si>
  <si>
    <t>113106121</t>
  </si>
  <si>
    <t>Rozebrání dlažeb komunikací pro pěší z betonových nebo kamenných dlaždic</t>
  </si>
  <si>
    <t>2*5,4</t>
  </si>
  <si>
    <t>564722111</t>
  </si>
  <si>
    <t>Podklad z vibrovaného štěrku VŠ tl 80 mm</t>
  </si>
  <si>
    <t>581121112</t>
  </si>
  <si>
    <t>Kryt cementobetonový vozovek skupiny CB I tl 120 mm</t>
  </si>
  <si>
    <t>919716111</t>
  </si>
  <si>
    <t>Výztuž cementobetonového krytu ze svařovaných sítí KARI hmotnosti do 7,5 kg/m2</t>
  </si>
  <si>
    <t>3,014*2*5,4*1,2/1000</t>
  </si>
  <si>
    <t>997221551</t>
  </si>
  <si>
    <t>Vodorovná doprava suti ze sypkých materiálů do 1 km</t>
  </si>
  <si>
    <t>997221559</t>
  </si>
  <si>
    <t>Příplatek ZKD 1 km u vodorovné dopravy suti ze sypkých materiálů</t>
  </si>
  <si>
    <t>2,754*5</t>
  </si>
  <si>
    <t>997221815</t>
  </si>
  <si>
    <t>Poplatek za uložení betonového odpadu na skládce (skládkovné)</t>
  </si>
  <si>
    <t>998229111</t>
  </si>
  <si>
    <t>Přesun hmot ruční pro pozemní komunikace s krytem z kameniva, betonu,živice na vzdálenost do 50 m</t>
  </si>
  <si>
    <t>Dodávka zadavatele - NEROZPOČTOVAT!!</t>
  </si>
  <si>
    <t>Dodávka zadavatele-NEROZPOČTOVAT!!!</t>
  </si>
  <si>
    <t>NEROZPOČTOVÁNO</t>
  </si>
  <si>
    <t>2013-24-1 - Stavební úpravy stodoly - nabídkový rozpočet</t>
  </si>
  <si>
    <t>2013-24-2 - Zpevněná plocha - nabídkový rozpočet</t>
  </si>
  <si>
    <t>2013-24 - Stavební úpravy stodoly - p.č. 11/5 na sklad protipovodňových prostředků - nabídkový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</si>
</sst>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164" fontId="24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 applyProtection="1">
      <alignment horizontal="left" vertical="center"/>
      <protection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9" fillId="34" borderId="0" xfId="0" applyFont="1" applyFill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27" fillId="36" borderId="33" xfId="0" applyFont="1" applyFill="1" applyBorder="1" applyAlignment="1" applyProtection="1">
      <alignment horizontal="left" vertical="center" wrapText="1"/>
      <protection/>
    </xf>
    <xf numFmtId="0" fontId="27" fillId="36" borderId="33" xfId="0" applyFont="1" applyFill="1" applyBorder="1" applyAlignment="1" applyProtection="1">
      <alignment horizontal="left" vertical="center"/>
      <protection/>
    </xf>
    <xf numFmtId="0" fontId="24" fillId="36" borderId="0" xfId="0" applyFont="1" applyFill="1" applyAlignment="1" applyProtection="1">
      <alignment horizontal="left" vertical="center"/>
      <protection/>
    </xf>
    <xf numFmtId="0" fontId="24" fillId="36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tabSelected="1" zoomScalePageLayoutView="0" workbookViewId="0" topLeftCell="A1">
      <pane ySplit="1" topLeftCell="A93" activePane="bottomLeft" state="frozen"/>
      <selection pane="topLeft" activeCell="A1" sqref="A1"/>
      <selection pane="bottomLeft" activeCell="K7" sqref="K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6" t="s">
        <v>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C4" s="185" t="s">
        <v>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3"/>
      <c r="AS4" s="14" t="s">
        <v>10</v>
      </c>
      <c r="BE4" s="15" t="s">
        <v>11</v>
      </c>
      <c r="BS4" s="7" t="s">
        <v>12</v>
      </c>
    </row>
    <row r="5" spans="2:71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  <c r="BE5" s="198" t="s">
        <v>13</v>
      </c>
      <c r="BS5" s="7" t="s">
        <v>6</v>
      </c>
    </row>
    <row r="6" spans="2:71" s="2" customFormat="1" ht="49.5" customHeight="1">
      <c r="B6" s="11"/>
      <c r="C6" s="12"/>
      <c r="D6" s="16" t="s">
        <v>14</v>
      </c>
      <c r="E6" s="12"/>
      <c r="F6" s="12"/>
      <c r="G6" s="12"/>
      <c r="H6" s="12"/>
      <c r="I6" s="12"/>
      <c r="J6" s="12"/>
      <c r="K6" s="246" t="s">
        <v>794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12"/>
      <c r="AQ6" s="13"/>
      <c r="BE6" s="168"/>
      <c r="BS6" s="7" t="s">
        <v>15</v>
      </c>
    </row>
    <row r="7" spans="2:71" s="2" customFormat="1" ht="7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BE7" s="168"/>
      <c r="BS7" s="7" t="s">
        <v>16</v>
      </c>
    </row>
    <row r="8" spans="2:71" s="2" customFormat="1" ht="15" customHeight="1">
      <c r="B8" s="11"/>
      <c r="C8" s="12"/>
      <c r="D8" s="17" t="s">
        <v>17</v>
      </c>
      <c r="E8" s="12"/>
      <c r="F8" s="12"/>
      <c r="G8" s="12"/>
      <c r="H8" s="12"/>
      <c r="I8" s="12"/>
      <c r="J8" s="12"/>
      <c r="K8" s="18" t="s">
        <v>18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7" t="s">
        <v>19</v>
      </c>
      <c r="AL8" s="12"/>
      <c r="AM8" s="12"/>
      <c r="AN8" s="19" t="s">
        <v>20</v>
      </c>
      <c r="AO8" s="12"/>
      <c r="AP8" s="12"/>
      <c r="AQ8" s="13"/>
      <c r="BE8" s="168"/>
      <c r="BS8" s="7" t="s">
        <v>21</v>
      </c>
    </row>
    <row r="9" spans="2:71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  <c r="BE9" s="168"/>
      <c r="BS9" s="7" t="s">
        <v>22</v>
      </c>
    </row>
    <row r="10" spans="2:71" s="2" customFormat="1" ht="15" customHeight="1">
      <c r="B10" s="11"/>
      <c r="C10" s="12"/>
      <c r="D10" s="17" t="s">
        <v>23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7" t="s">
        <v>24</v>
      </c>
      <c r="AL10" s="12"/>
      <c r="AM10" s="12"/>
      <c r="AN10" s="18" t="s">
        <v>25</v>
      </c>
      <c r="AO10" s="12"/>
      <c r="AP10" s="12"/>
      <c r="AQ10" s="13"/>
      <c r="BE10" s="168"/>
      <c r="BS10" s="7" t="s">
        <v>15</v>
      </c>
    </row>
    <row r="11" spans="2:71" s="2" customFormat="1" ht="19.5" customHeight="1">
      <c r="B11" s="11"/>
      <c r="C11" s="12"/>
      <c r="D11" s="12"/>
      <c r="E11" s="18" t="s">
        <v>26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7" t="s">
        <v>27</v>
      </c>
      <c r="AL11" s="12"/>
      <c r="AM11" s="12"/>
      <c r="AN11" s="18"/>
      <c r="AO11" s="12"/>
      <c r="AP11" s="12"/>
      <c r="AQ11" s="13"/>
      <c r="BE11" s="168"/>
      <c r="BS11" s="7" t="s">
        <v>15</v>
      </c>
    </row>
    <row r="12" spans="2:71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BE12" s="168"/>
      <c r="BS12" s="7" t="s">
        <v>15</v>
      </c>
    </row>
    <row r="13" spans="2:71" s="2" customFormat="1" ht="15" customHeight="1">
      <c r="B13" s="11"/>
      <c r="C13" s="12"/>
      <c r="D13" s="17" t="s">
        <v>28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7" t="s">
        <v>24</v>
      </c>
      <c r="AL13" s="12"/>
      <c r="AM13" s="12"/>
      <c r="AN13" s="20" t="s">
        <v>29</v>
      </c>
      <c r="AO13" s="12"/>
      <c r="AP13" s="12"/>
      <c r="AQ13" s="13"/>
      <c r="BE13" s="168"/>
      <c r="BS13" s="7" t="s">
        <v>15</v>
      </c>
    </row>
    <row r="14" spans="2:71" s="2" customFormat="1" ht="15.75" customHeight="1">
      <c r="B14" s="11"/>
      <c r="C14" s="12"/>
      <c r="D14" s="12"/>
      <c r="E14" s="200" t="s">
        <v>29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7" t="s">
        <v>27</v>
      </c>
      <c r="AL14" s="12"/>
      <c r="AM14" s="12"/>
      <c r="AN14" s="20" t="s">
        <v>29</v>
      </c>
      <c r="AO14" s="12"/>
      <c r="AP14" s="12"/>
      <c r="AQ14" s="13"/>
      <c r="BE14" s="168"/>
      <c r="BS14" s="7" t="s">
        <v>15</v>
      </c>
    </row>
    <row r="15" spans="2:71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BE15" s="168"/>
      <c r="BS15" s="7" t="s">
        <v>3</v>
      </c>
    </row>
    <row r="16" spans="2:71" s="2" customFormat="1" ht="15" customHeight="1">
      <c r="B16" s="11"/>
      <c r="C16" s="12"/>
      <c r="D16" s="17" t="s">
        <v>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7" t="s">
        <v>24</v>
      </c>
      <c r="AL16" s="12"/>
      <c r="AM16" s="12"/>
      <c r="AN16" s="18" t="s">
        <v>31</v>
      </c>
      <c r="AO16" s="12"/>
      <c r="AP16" s="12"/>
      <c r="AQ16" s="13"/>
      <c r="BE16" s="168"/>
      <c r="BS16" s="7" t="s">
        <v>3</v>
      </c>
    </row>
    <row r="17" spans="2:71" s="2" customFormat="1" ht="19.5" customHeight="1">
      <c r="B17" s="11"/>
      <c r="C17" s="12"/>
      <c r="D17" s="12"/>
      <c r="E17" s="18" t="s">
        <v>32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7" t="s">
        <v>27</v>
      </c>
      <c r="AL17" s="12"/>
      <c r="AM17" s="12"/>
      <c r="AN17" s="18"/>
      <c r="AO17" s="12"/>
      <c r="AP17" s="12"/>
      <c r="AQ17" s="13"/>
      <c r="BE17" s="168"/>
      <c r="BS17" s="7" t="s">
        <v>33</v>
      </c>
    </row>
    <row r="18" spans="2:71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BE18" s="168"/>
      <c r="BS18" s="7" t="s">
        <v>6</v>
      </c>
    </row>
    <row r="19" spans="2:71" s="2" customFormat="1" ht="15" customHeight="1">
      <c r="B19" s="11"/>
      <c r="C19" s="12"/>
      <c r="D19" s="17" t="s">
        <v>34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7" t="s">
        <v>24</v>
      </c>
      <c r="AL19" s="12"/>
      <c r="AM19" s="12"/>
      <c r="AN19" s="18" t="s">
        <v>35</v>
      </c>
      <c r="AO19" s="12"/>
      <c r="AP19" s="12"/>
      <c r="AQ19" s="13"/>
      <c r="BE19" s="168"/>
      <c r="BS19" s="7" t="s">
        <v>15</v>
      </c>
    </row>
    <row r="20" spans="2:57" s="2" customFormat="1" ht="19.5" customHeight="1">
      <c r="B20" s="11"/>
      <c r="C20" s="12"/>
      <c r="D20" s="12"/>
      <c r="E20" s="18" t="s">
        <v>36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7" t="s">
        <v>27</v>
      </c>
      <c r="AL20" s="12"/>
      <c r="AM20" s="12"/>
      <c r="AN20" s="18"/>
      <c r="AO20" s="12"/>
      <c r="AP20" s="12"/>
      <c r="AQ20" s="13"/>
      <c r="BE20" s="168"/>
    </row>
    <row r="21" spans="2:57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BE21" s="168"/>
    </row>
    <row r="22" spans="2:57" s="2" customFormat="1" ht="7.5" customHeight="1">
      <c r="B22" s="11"/>
      <c r="C22" s="1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2"/>
      <c r="AQ22" s="13"/>
      <c r="BE22" s="168"/>
    </row>
    <row r="23" spans="2:57" s="2" customFormat="1" ht="15" customHeight="1">
      <c r="B23" s="11"/>
      <c r="C23" s="12"/>
      <c r="D23" s="22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01">
        <f>ROUNDUP($AG$87,2)</f>
        <v>0</v>
      </c>
      <c r="AL23" s="197"/>
      <c r="AM23" s="197"/>
      <c r="AN23" s="197"/>
      <c r="AO23" s="197"/>
      <c r="AP23" s="12"/>
      <c r="AQ23" s="13"/>
      <c r="BE23" s="168"/>
    </row>
    <row r="24" spans="2:57" s="2" customFormat="1" ht="15" customHeight="1">
      <c r="B24" s="11"/>
      <c r="C24" s="12"/>
      <c r="D24" s="22" t="s">
        <v>38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01">
        <f>ROUNDUP($AG$91,2)</f>
        <v>0</v>
      </c>
      <c r="AL24" s="197"/>
      <c r="AM24" s="197"/>
      <c r="AN24" s="197"/>
      <c r="AO24" s="197"/>
      <c r="AP24" s="12"/>
      <c r="AQ24" s="13"/>
      <c r="BE24" s="168"/>
    </row>
    <row r="25" spans="2:57" s="7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91"/>
    </row>
    <row r="26" spans="2:57" s="7" customFormat="1" ht="27" customHeight="1">
      <c r="B26" s="23"/>
      <c r="C26" s="24"/>
      <c r="D26" s="26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2">
        <f>ROUNDUP($AK$23+$AK$24,2)</f>
        <v>0</v>
      </c>
      <c r="AL26" s="203"/>
      <c r="AM26" s="203"/>
      <c r="AN26" s="203"/>
      <c r="AO26" s="203"/>
      <c r="AP26" s="24"/>
      <c r="AQ26" s="25"/>
      <c r="BE26" s="191"/>
    </row>
    <row r="27" spans="2:57" s="7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91"/>
    </row>
    <row r="28" spans="2:57" s="7" customFormat="1" ht="15" customHeight="1">
      <c r="B28" s="28"/>
      <c r="C28" s="29"/>
      <c r="D28" s="29" t="s">
        <v>40</v>
      </c>
      <c r="E28" s="29"/>
      <c r="F28" s="29" t="s">
        <v>41</v>
      </c>
      <c r="G28" s="29"/>
      <c r="H28" s="29"/>
      <c r="I28" s="29"/>
      <c r="J28" s="29"/>
      <c r="K28" s="29"/>
      <c r="L28" s="193">
        <v>0.21</v>
      </c>
      <c r="M28" s="194"/>
      <c r="N28" s="194"/>
      <c r="O28" s="194"/>
      <c r="P28" s="29"/>
      <c r="Q28" s="29"/>
      <c r="R28" s="29"/>
      <c r="S28" s="29"/>
      <c r="T28" s="31" t="s">
        <v>42</v>
      </c>
      <c r="U28" s="29"/>
      <c r="V28" s="29"/>
      <c r="W28" s="195">
        <f>ROUNDUP($AZ$87+SUM($CD$92:$CD$105),2)</f>
        <v>0</v>
      </c>
      <c r="X28" s="194"/>
      <c r="Y28" s="194"/>
      <c r="Z28" s="194"/>
      <c r="AA28" s="194"/>
      <c r="AB28" s="194"/>
      <c r="AC28" s="194"/>
      <c r="AD28" s="194"/>
      <c r="AE28" s="194"/>
      <c r="AF28" s="29"/>
      <c r="AG28" s="29"/>
      <c r="AH28" s="29"/>
      <c r="AI28" s="29"/>
      <c r="AJ28" s="29"/>
      <c r="AK28" s="195">
        <f>ROUNDUP($AV$87+SUM($BY$92:$BY$105),1)</f>
        <v>0</v>
      </c>
      <c r="AL28" s="194"/>
      <c r="AM28" s="194"/>
      <c r="AN28" s="194"/>
      <c r="AO28" s="194"/>
      <c r="AP28" s="29"/>
      <c r="AQ28" s="32"/>
      <c r="BE28" s="199"/>
    </row>
    <row r="29" spans="2:57" s="7" customFormat="1" ht="15" customHeight="1">
      <c r="B29" s="28"/>
      <c r="C29" s="29"/>
      <c r="D29" s="29"/>
      <c r="E29" s="29"/>
      <c r="F29" s="29" t="s">
        <v>43</v>
      </c>
      <c r="G29" s="29"/>
      <c r="H29" s="29"/>
      <c r="I29" s="29"/>
      <c r="J29" s="29"/>
      <c r="K29" s="29"/>
      <c r="L29" s="193">
        <v>0.15</v>
      </c>
      <c r="M29" s="194"/>
      <c r="N29" s="194"/>
      <c r="O29" s="194"/>
      <c r="P29" s="29"/>
      <c r="Q29" s="29"/>
      <c r="R29" s="29"/>
      <c r="S29" s="29"/>
      <c r="T29" s="31" t="s">
        <v>42</v>
      </c>
      <c r="U29" s="29"/>
      <c r="V29" s="29"/>
      <c r="W29" s="195">
        <f>ROUNDUP($BA$87+SUM($CE$92:$CE$105),2)</f>
        <v>0</v>
      </c>
      <c r="X29" s="194"/>
      <c r="Y29" s="194"/>
      <c r="Z29" s="194"/>
      <c r="AA29" s="194"/>
      <c r="AB29" s="194"/>
      <c r="AC29" s="194"/>
      <c r="AD29" s="194"/>
      <c r="AE29" s="194"/>
      <c r="AF29" s="29"/>
      <c r="AG29" s="29"/>
      <c r="AH29" s="29"/>
      <c r="AI29" s="29"/>
      <c r="AJ29" s="29"/>
      <c r="AK29" s="195">
        <f>ROUNDUP($AW$87+SUM($BZ$92:$BZ$105),1)</f>
        <v>0</v>
      </c>
      <c r="AL29" s="194"/>
      <c r="AM29" s="194"/>
      <c r="AN29" s="194"/>
      <c r="AO29" s="194"/>
      <c r="AP29" s="29"/>
      <c r="AQ29" s="32"/>
      <c r="BE29" s="199"/>
    </row>
    <row r="30" spans="2:57" s="7" customFormat="1" ht="15" customHeight="1" hidden="1">
      <c r="B30" s="28"/>
      <c r="C30" s="29"/>
      <c r="D30" s="29"/>
      <c r="E30" s="29"/>
      <c r="F30" s="29" t="s">
        <v>44</v>
      </c>
      <c r="G30" s="29"/>
      <c r="H30" s="29"/>
      <c r="I30" s="29"/>
      <c r="J30" s="29"/>
      <c r="K30" s="29"/>
      <c r="L30" s="193">
        <v>0.21</v>
      </c>
      <c r="M30" s="194"/>
      <c r="N30" s="194"/>
      <c r="O30" s="194"/>
      <c r="P30" s="29"/>
      <c r="Q30" s="29"/>
      <c r="R30" s="29"/>
      <c r="S30" s="29"/>
      <c r="T30" s="31" t="s">
        <v>42</v>
      </c>
      <c r="U30" s="29"/>
      <c r="V30" s="29"/>
      <c r="W30" s="195">
        <f>ROUNDUP($BB$87+SUM($CF$92:$CF$105),2)</f>
        <v>0</v>
      </c>
      <c r="X30" s="194"/>
      <c r="Y30" s="194"/>
      <c r="Z30" s="194"/>
      <c r="AA30" s="194"/>
      <c r="AB30" s="194"/>
      <c r="AC30" s="194"/>
      <c r="AD30" s="194"/>
      <c r="AE30" s="194"/>
      <c r="AF30" s="29"/>
      <c r="AG30" s="29"/>
      <c r="AH30" s="29"/>
      <c r="AI30" s="29"/>
      <c r="AJ30" s="29"/>
      <c r="AK30" s="195">
        <v>0</v>
      </c>
      <c r="AL30" s="194"/>
      <c r="AM30" s="194"/>
      <c r="AN30" s="194"/>
      <c r="AO30" s="194"/>
      <c r="AP30" s="29"/>
      <c r="AQ30" s="32"/>
      <c r="BE30" s="199"/>
    </row>
    <row r="31" spans="2:57" s="7" customFormat="1" ht="15" customHeight="1" hidden="1">
      <c r="B31" s="28"/>
      <c r="C31" s="29"/>
      <c r="D31" s="29"/>
      <c r="E31" s="29"/>
      <c r="F31" s="29" t="s">
        <v>45</v>
      </c>
      <c r="G31" s="29"/>
      <c r="H31" s="29"/>
      <c r="I31" s="29"/>
      <c r="J31" s="29"/>
      <c r="K31" s="29"/>
      <c r="L31" s="193">
        <v>0.15</v>
      </c>
      <c r="M31" s="194"/>
      <c r="N31" s="194"/>
      <c r="O31" s="194"/>
      <c r="P31" s="29"/>
      <c r="Q31" s="29"/>
      <c r="R31" s="29"/>
      <c r="S31" s="29"/>
      <c r="T31" s="31" t="s">
        <v>42</v>
      </c>
      <c r="U31" s="29"/>
      <c r="V31" s="29"/>
      <c r="W31" s="195">
        <f>ROUNDUP($BC$87+SUM($CG$92:$CG$105),2)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29"/>
      <c r="AG31" s="29"/>
      <c r="AH31" s="29"/>
      <c r="AI31" s="29"/>
      <c r="AJ31" s="29"/>
      <c r="AK31" s="195">
        <v>0</v>
      </c>
      <c r="AL31" s="194"/>
      <c r="AM31" s="194"/>
      <c r="AN31" s="194"/>
      <c r="AO31" s="194"/>
      <c r="AP31" s="29"/>
      <c r="AQ31" s="32"/>
      <c r="BE31" s="199"/>
    </row>
    <row r="32" spans="2:57" s="7" customFormat="1" ht="15" customHeight="1" hidden="1">
      <c r="B32" s="28"/>
      <c r="C32" s="29"/>
      <c r="D32" s="29"/>
      <c r="E32" s="29"/>
      <c r="F32" s="29" t="s">
        <v>46</v>
      </c>
      <c r="G32" s="29"/>
      <c r="H32" s="29"/>
      <c r="I32" s="29"/>
      <c r="J32" s="29"/>
      <c r="K32" s="29"/>
      <c r="L32" s="193">
        <v>0</v>
      </c>
      <c r="M32" s="194"/>
      <c r="N32" s="194"/>
      <c r="O32" s="194"/>
      <c r="P32" s="29"/>
      <c r="Q32" s="29"/>
      <c r="R32" s="29"/>
      <c r="S32" s="29"/>
      <c r="T32" s="31" t="s">
        <v>42</v>
      </c>
      <c r="U32" s="29"/>
      <c r="V32" s="29"/>
      <c r="W32" s="195">
        <f>ROUNDUP($BD$87+SUM($CH$92:$CH$105),2)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29"/>
      <c r="AG32" s="29"/>
      <c r="AH32" s="29"/>
      <c r="AI32" s="29"/>
      <c r="AJ32" s="29"/>
      <c r="AK32" s="195">
        <v>0</v>
      </c>
      <c r="AL32" s="194"/>
      <c r="AM32" s="194"/>
      <c r="AN32" s="194"/>
      <c r="AO32" s="194"/>
      <c r="AP32" s="29"/>
      <c r="AQ32" s="32"/>
      <c r="BE32" s="199"/>
    </row>
    <row r="33" spans="2:57" s="7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91"/>
    </row>
    <row r="34" spans="2:57" s="7" customFormat="1" ht="27" customHeight="1">
      <c r="B34" s="23"/>
      <c r="C34" s="33"/>
      <c r="D34" s="34" t="s">
        <v>47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48</v>
      </c>
      <c r="U34" s="35"/>
      <c r="V34" s="35"/>
      <c r="W34" s="35"/>
      <c r="X34" s="183" t="s">
        <v>49</v>
      </c>
      <c r="Y34" s="180"/>
      <c r="Z34" s="180"/>
      <c r="AA34" s="180"/>
      <c r="AB34" s="180"/>
      <c r="AC34" s="35"/>
      <c r="AD34" s="35"/>
      <c r="AE34" s="35"/>
      <c r="AF34" s="35"/>
      <c r="AG34" s="35"/>
      <c r="AH34" s="35"/>
      <c r="AI34" s="35"/>
      <c r="AJ34" s="35"/>
      <c r="AK34" s="184">
        <f>ROUNDUP(SUM($AK$26:$AK$32),2)</f>
        <v>0</v>
      </c>
      <c r="AL34" s="180"/>
      <c r="AM34" s="180"/>
      <c r="AN34" s="180"/>
      <c r="AO34" s="182"/>
      <c r="AP34" s="33"/>
      <c r="AQ34" s="25"/>
      <c r="BE34" s="191"/>
    </row>
    <row r="35" spans="2:43" s="7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2:43" s="2" customFormat="1" ht="14.2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2:43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3"/>
    </row>
    <row r="47" spans="2:43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3"/>
    </row>
    <row r="48" spans="2:43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3"/>
    </row>
    <row r="49" spans="2:43" s="7" customFormat="1" ht="15.75" customHeight="1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1"/>
      <c r="C50" s="12"/>
      <c r="D50" s="4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41"/>
      <c r="AA50" s="12"/>
      <c r="AB50" s="12"/>
      <c r="AC50" s="40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41"/>
      <c r="AP50" s="12"/>
      <c r="AQ50" s="13"/>
    </row>
    <row r="51" spans="2:43" s="2" customFormat="1" ht="14.25" customHeight="1">
      <c r="B51" s="11"/>
      <c r="C51" s="12"/>
      <c r="D51" s="4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41"/>
      <c r="AA51" s="12"/>
      <c r="AB51" s="12"/>
      <c r="AC51" s="4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41"/>
      <c r="AP51" s="12"/>
      <c r="AQ51" s="13"/>
    </row>
    <row r="52" spans="2:43" s="2" customFormat="1" ht="14.25" customHeight="1">
      <c r="B52" s="11"/>
      <c r="C52" s="12"/>
      <c r="D52" s="4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41"/>
      <c r="AA52" s="12"/>
      <c r="AB52" s="12"/>
      <c r="AC52" s="40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41"/>
      <c r="AP52" s="12"/>
      <c r="AQ52" s="13"/>
    </row>
    <row r="53" spans="2:43" s="2" customFormat="1" ht="14.25" customHeight="1">
      <c r="B53" s="11"/>
      <c r="C53" s="12"/>
      <c r="D53" s="4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41"/>
      <c r="AA53" s="12"/>
      <c r="AB53" s="12"/>
      <c r="AC53" s="40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41"/>
      <c r="AP53" s="12"/>
      <c r="AQ53" s="13"/>
    </row>
    <row r="54" spans="2:43" s="2" customFormat="1" ht="14.25" customHeight="1">
      <c r="B54" s="11"/>
      <c r="C54" s="12"/>
      <c r="D54" s="4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41"/>
      <c r="AA54" s="12"/>
      <c r="AB54" s="12"/>
      <c r="AC54" s="40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41"/>
      <c r="AP54" s="12"/>
      <c r="AQ54" s="13"/>
    </row>
    <row r="55" spans="2:43" s="2" customFormat="1" ht="14.25" customHeight="1">
      <c r="B55" s="11"/>
      <c r="C55" s="12"/>
      <c r="D55" s="4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41"/>
      <c r="AA55" s="12"/>
      <c r="AB55" s="12"/>
      <c r="AC55" s="40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41"/>
      <c r="AP55" s="12"/>
      <c r="AQ55" s="13"/>
    </row>
    <row r="56" spans="2:43" s="2" customFormat="1" ht="14.25" customHeight="1">
      <c r="B56" s="11"/>
      <c r="C56" s="12"/>
      <c r="D56" s="4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41"/>
      <c r="AA56" s="12"/>
      <c r="AB56" s="12"/>
      <c r="AC56" s="4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41"/>
      <c r="AP56" s="12"/>
      <c r="AQ56" s="13"/>
    </row>
    <row r="57" spans="2:43" s="2" customFormat="1" ht="14.25" customHeight="1">
      <c r="B57" s="11"/>
      <c r="C57" s="12"/>
      <c r="D57" s="4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1"/>
      <c r="AA57" s="12"/>
      <c r="AB57" s="12"/>
      <c r="AC57" s="4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41"/>
      <c r="AP57" s="12"/>
      <c r="AQ57" s="13"/>
    </row>
    <row r="58" spans="2:43" s="7" customFormat="1" ht="15.75" customHeight="1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s="2" customFormat="1" ht="14.25" customHeigh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</row>
    <row r="60" spans="2:43" s="7" customFormat="1" ht="15.75" customHeight="1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1"/>
      <c r="C61" s="12"/>
      <c r="D61" s="4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41"/>
      <c r="AA61" s="12"/>
      <c r="AB61" s="12"/>
      <c r="AC61" s="4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41"/>
      <c r="AP61" s="12"/>
      <c r="AQ61" s="13"/>
    </row>
    <row r="62" spans="2:43" s="2" customFormat="1" ht="14.25" customHeight="1">
      <c r="B62" s="11"/>
      <c r="C62" s="12"/>
      <c r="D62" s="4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41"/>
      <c r="AA62" s="12"/>
      <c r="AB62" s="12"/>
      <c r="AC62" s="4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41"/>
      <c r="AP62" s="12"/>
      <c r="AQ62" s="13"/>
    </row>
    <row r="63" spans="2:43" s="2" customFormat="1" ht="14.25" customHeight="1">
      <c r="B63" s="11"/>
      <c r="C63" s="12"/>
      <c r="D63" s="4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41"/>
      <c r="AA63" s="12"/>
      <c r="AB63" s="12"/>
      <c r="AC63" s="4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41"/>
      <c r="AP63" s="12"/>
      <c r="AQ63" s="13"/>
    </row>
    <row r="64" spans="2:43" s="2" customFormat="1" ht="14.25" customHeight="1">
      <c r="B64" s="11"/>
      <c r="C64" s="12"/>
      <c r="D64" s="4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41"/>
      <c r="AA64" s="12"/>
      <c r="AB64" s="12"/>
      <c r="AC64" s="4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41"/>
      <c r="AP64" s="12"/>
      <c r="AQ64" s="13"/>
    </row>
    <row r="65" spans="2:43" s="2" customFormat="1" ht="14.25" customHeight="1">
      <c r="B65" s="11"/>
      <c r="C65" s="12"/>
      <c r="D65" s="4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41"/>
      <c r="AA65" s="12"/>
      <c r="AB65" s="12"/>
      <c r="AC65" s="40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41"/>
      <c r="AP65" s="12"/>
      <c r="AQ65" s="13"/>
    </row>
    <row r="66" spans="2:43" s="2" customFormat="1" ht="14.25" customHeight="1">
      <c r="B66" s="11"/>
      <c r="C66" s="12"/>
      <c r="D66" s="4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41"/>
      <c r="AA66" s="12"/>
      <c r="AB66" s="12"/>
      <c r="AC66" s="40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41"/>
      <c r="AP66" s="12"/>
      <c r="AQ66" s="13"/>
    </row>
    <row r="67" spans="2:43" s="2" customFormat="1" ht="14.25" customHeight="1">
      <c r="B67" s="11"/>
      <c r="C67" s="12"/>
      <c r="D67" s="4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41"/>
      <c r="AA67" s="12"/>
      <c r="AB67" s="12"/>
      <c r="AC67" s="40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41"/>
      <c r="AP67" s="12"/>
      <c r="AQ67" s="13"/>
    </row>
    <row r="68" spans="2:43" s="2" customFormat="1" ht="14.25" customHeight="1">
      <c r="B68" s="11"/>
      <c r="C68" s="12"/>
      <c r="D68" s="4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41"/>
      <c r="AA68" s="12"/>
      <c r="AB68" s="12"/>
      <c r="AC68" s="40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41"/>
      <c r="AP68" s="12"/>
      <c r="AQ68" s="13"/>
    </row>
    <row r="69" spans="2:43" s="7" customFormat="1" ht="15.75" customHeight="1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7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7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7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7" customFormat="1" ht="37.5" customHeight="1">
      <c r="B76" s="23"/>
      <c r="C76" s="185" t="s">
        <v>56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25"/>
    </row>
    <row r="77" spans="2:43" s="7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5"/>
    </row>
    <row r="78" spans="2:43" s="52" customFormat="1" ht="43.5" customHeight="1">
      <c r="B78" s="53"/>
      <c r="C78" s="16" t="s">
        <v>14</v>
      </c>
      <c r="D78" s="16"/>
      <c r="E78" s="16"/>
      <c r="F78" s="16"/>
      <c r="G78" s="16"/>
      <c r="H78" s="16"/>
      <c r="I78" s="16"/>
      <c r="J78" s="16"/>
      <c r="K78" s="16"/>
      <c r="L78" s="244" t="str">
        <f>$K$6</f>
        <v>2013-24 - Stavební úpravy stodoly - p.č. 11/5 na sklad protipovodňových prostředků - nabídkový rozpočet</v>
      </c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16"/>
      <c r="AQ78" s="54"/>
    </row>
    <row r="79" spans="2:43" s="7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7" customFormat="1" ht="15.75" customHeight="1">
      <c r="B80" s="23"/>
      <c r="C80" s="17" t="s">
        <v>17</v>
      </c>
      <c r="D80" s="24"/>
      <c r="E80" s="24"/>
      <c r="F80" s="24"/>
      <c r="G80" s="24"/>
      <c r="H80" s="24"/>
      <c r="I80" s="24"/>
      <c r="J80" s="24"/>
      <c r="K80" s="24"/>
      <c r="L80" s="55" t="str">
        <f>IF($K$8="","",$K$8)</f>
        <v>Albrechtice n. Orl.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7" t="s">
        <v>19</v>
      </c>
      <c r="AJ80" s="24"/>
      <c r="AK80" s="24"/>
      <c r="AL80" s="24"/>
      <c r="AM80" s="56" t="str">
        <f>IF($AN$8="","",$AN$8)</f>
        <v>18.09.2013</v>
      </c>
      <c r="AN80" s="24"/>
      <c r="AO80" s="24"/>
      <c r="AP80" s="24"/>
      <c r="AQ80" s="25"/>
    </row>
    <row r="81" spans="2:43" s="7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7" customFormat="1" ht="18.75" customHeight="1">
      <c r="B82" s="23"/>
      <c r="C82" s="17" t="s">
        <v>23</v>
      </c>
      <c r="D82" s="24"/>
      <c r="E82" s="24"/>
      <c r="F82" s="24"/>
      <c r="G82" s="24"/>
      <c r="H82" s="24"/>
      <c r="I82" s="24"/>
      <c r="J82" s="24"/>
      <c r="K82" s="24"/>
      <c r="L82" s="18" t="str">
        <f>IF($E$11="","",$E$11)</f>
        <v>Obec Albrechtice n. Orl.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7" t="s">
        <v>30</v>
      </c>
      <c r="AJ82" s="24"/>
      <c r="AK82" s="24"/>
      <c r="AL82" s="24"/>
      <c r="AM82" s="187" t="str">
        <f>IF($E$17="","",$E$17)</f>
        <v>Jan Malina</v>
      </c>
      <c r="AN82" s="170"/>
      <c r="AO82" s="170"/>
      <c r="AP82" s="170"/>
      <c r="AQ82" s="25"/>
      <c r="AS82" s="188" t="s">
        <v>57</v>
      </c>
      <c r="AT82" s="189"/>
      <c r="AU82" s="57"/>
      <c r="AV82" s="57"/>
      <c r="AW82" s="57"/>
      <c r="AX82" s="57"/>
      <c r="AY82" s="57"/>
      <c r="AZ82" s="57"/>
      <c r="BA82" s="57"/>
      <c r="BB82" s="57"/>
      <c r="BC82" s="57"/>
      <c r="BD82" s="58"/>
    </row>
    <row r="83" spans="2:56" s="7" customFormat="1" ht="15.75" customHeight="1">
      <c r="B83" s="23"/>
      <c r="C83" s="17" t="s">
        <v>28</v>
      </c>
      <c r="D83" s="24"/>
      <c r="E83" s="24"/>
      <c r="F83" s="24"/>
      <c r="G83" s="24"/>
      <c r="H83" s="24"/>
      <c r="I83" s="24"/>
      <c r="J83" s="24"/>
      <c r="K83" s="24"/>
      <c r="L83" s="18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7" t="s">
        <v>34</v>
      </c>
      <c r="AJ83" s="24"/>
      <c r="AK83" s="24"/>
      <c r="AL83" s="24"/>
      <c r="AM83" s="187" t="str">
        <f>IF($E$20="","",$E$20)</f>
        <v>Jaroslav Krunčík</v>
      </c>
      <c r="AN83" s="170"/>
      <c r="AO83" s="170"/>
      <c r="AP83" s="170"/>
      <c r="AQ83" s="25"/>
      <c r="AS83" s="190"/>
      <c r="AT83" s="191"/>
      <c r="BD83" s="59"/>
    </row>
    <row r="84" spans="2:56" s="7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92"/>
      <c r="AT84" s="170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7" s="7" customFormat="1" ht="30" customHeight="1">
      <c r="B85" s="23"/>
      <c r="C85" s="179" t="s">
        <v>58</v>
      </c>
      <c r="D85" s="180"/>
      <c r="E85" s="180"/>
      <c r="F85" s="180"/>
      <c r="G85" s="180"/>
      <c r="H85" s="35"/>
      <c r="I85" s="181" t="s">
        <v>59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60</v>
      </c>
      <c r="AH85" s="180"/>
      <c r="AI85" s="180"/>
      <c r="AJ85" s="180"/>
      <c r="AK85" s="180"/>
      <c r="AL85" s="180"/>
      <c r="AM85" s="180"/>
      <c r="AN85" s="181" t="s">
        <v>61</v>
      </c>
      <c r="AO85" s="180"/>
      <c r="AP85" s="182"/>
      <c r="AQ85" s="25"/>
      <c r="AS85" s="62" t="s">
        <v>62</v>
      </c>
      <c r="AT85" s="63" t="s">
        <v>63</v>
      </c>
      <c r="AU85" s="63" t="s">
        <v>64</v>
      </c>
      <c r="AV85" s="63" t="s">
        <v>65</v>
      </c>
      <c r="AW85" s="63" t="s">
        <v>66</v>
      </c>
      <c r="AX85" s="63" t="s">
        <v>67</v>
      </c>
      <c r="AY85" s="63" t="s">
        <v>68</v>
      </c>
      <c r="AZ85" s="63" t="s">
        <v>69</v>
      </c>
      <c r="BA85" s="63" t="s">
        <v>70</v>
      </c>
      <c r="BB85" s="63" t="s">
        <v>71</v>
      </c>
      <c r="BC85" s="63" t="s">
        <v>72</v>
      </c>
      <c r="BD85" s="64" t="s">
        <v>73</v>
      </c>
      <c r="BE85" s="65"/>
    </row>
    <row r="86" spans="2:56" s="7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2" customFormat="1" ht="33" customHeight="1">
      <c r="B87" s="53"/>
      <c r="C87" s="67" t="s">
        <v>74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173">
        <f>ROUNDUP(SUM($AG$88:$AG$89),2)</f>
        <v>0</v>
      </c>
      <c r="AH87" s="174"/>
      <c r="AI87" s="174"/>
      <c r="AJ87" s="174"/>
      <c r="AK87" s="174"/>
      <c r="AL87" s="174"/>
      <c r="AM87" s="174"/>
      <c r="AN87" s="173">
        <f>ROUNDUP(SUM($AG$87,$AT$87),2)</f>
        <v>0</v>
      </c>
      <c r="AO87" s="174"/>
      <c r="AP87" s="174"/>
      <c r="AQ87" s="54"/>
      <c r="AS87" s="68">
        <f>ROUNDUP(SUM($AS$88:$AS$89),2)</f>
        <v>0</v>
      </c>
      <c r="AT87" s="69">
        <f>ROUNDUP(SUM($AV$87:$AW$87),1)</f>
        <v>0</v>
      </c>
      <c r="AU87" s="70">
        <f>ROUNDUP(SUM($AU$88:$AU$89),5)</f>
        <v>2011.30385</v>
      </c>
      <c r="AV87" s="69">
        <f>ROUNDUP($AZ$87*$L$28,2)</f>
        <v>0</v>
      </c>
      <c r="AW87" s="69">
        <f>ROUNDUP($BA$87*$L$29,2)</f>
        <v>0</v>
      </c>
      <c r="AX87" s="69">
        <f>ROUNDUP($BB$87*$L$28,2)</f>
        <v>0</v>
      </c>
      <c r="AY87" s="69">
        <f>ROUNDUP($BC$87*$L$29,2)</f>
        <v>0</v>
      </c>
      <c r="AZ87" s="69">
        <f>ROUNDUP(SUM($AZ$88:$AZ$89),2)</f>
        <v>0</v>
      </c>
      <c r="BA87" s="69">
        <f>ROUNDUP(SUM($BA$88:$BA$89),2)</f>
        <v>0</v>
      </c>
      <c r="BB87" s="69">
        <f>ROUNDUP(SUM($BB$88:$BB$89),2)</f>
        <v>0</v>
      </c>
      <c r="BC87" s="69">
        <f>ROUNDUP(SUM($BC$88:$BC$89),2)</f>
        <v>0</v>
      </c>
      <c r="BD87" s="71">
        <f>ROUNDUP(SUM($BD$88:$BD$89),2)</f>
        <v>0</v>
      </c>
      <c r="BS87" s="52" t="s">
        <v>75</v>
      </c>
      <c r="BT87" s="52" t="s">
        <v>76</v>
      </c>
      <c r="BU87" s="72" t="s">
        <v>77</v>
      </c>
      <c r="BV87" s="52" t="s">
        <v>78</v>
      </c>
      <c r="BW87" s="52" t="s">
        <v>79</v>
      </c>
      <c r="BX87" s="52" t="s">
        <v>80</v>
      </c>
    </row>
    <row r="88" spans="2:76" s="73" customFormat="1" ht="28.5" customHeight="1">
      <c r="B88" s="74"/>
      <c r="C88" s="75"/>
      <c r="D88" s="177" t="s">
        <v>81</v>
      </c>
      <c r="E88" s="178"/>
      <c r="F88" s="178"/>
      <c r="G88" s="178"/>
      <c r="H88" s="178"/>
      <c r="I88" s="75"/>
      <c r="J88" s="177" t="s">
        <v>82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'2013-24-1 - Stavební úpra...'!$M$27</f>
        <v>0</v>
      </c>
      <c r="AH88" s="176"/>
      <c r="AI88" s="176"/>
      <c r="AJ88" s="176"/>
      <c r="AK88" s="176"/>
      <c r="AL88" s="176"/>
      <c r="AM88" s="176"/>
      <c r="AN88" s="175">
        <f>ROUNDUP(SUM($AG$88,$AT$88),2)</f>
        <v>0</v>
      </c>
      <c r="AO88" s="176"/>
      <c r="AP88" s="176"/>
      <c r="AQ88" s="76"/>
      <c r="AS88" s="77">
        <f>'2013-24-1 - Stavební úpra...'!$M$25</f>
        <v>0</v>
      </c>
      <c r="AT88" s="78">
        <f>ROUNDUP(SUM($AV$88:$AW$88),1)</f>
        <v>0</v>
      </c>
      <c r="AU88" s="79">
        <f>'2013-24-1 - Stavební úpra...'!$W$137</f>
        <v>1999.4121669999997</v>
      </c>
      <c r="AV88" s="78">
        <f>'2013-24-1 - Stavební úpra...'!$M$29</f>
        <v>0</v>
      </c>
      <c r="AW88" s="78">
        <f>'2013-24-1 - Stavební úpra...'!$M$30</f>
        <v>0</v>
      </c>
      <c r="AX88" s="78">
        <f>'2013-24-1 - Stavební úpra...'!$M$31</f>
        <v>0</v>
      </c>
      <c r="AY88" s="78">
        <f>'2013-24-1 - Stavební úpra...'!$M$32</f>
        <v>0</v>
      </c>
      <c r="AZ88" s="78">
        <f>'2013-24-1 - Stavební úpra...'!$H$29</f>
        <v>0</v>
      </c>
      <c r="BA88" s="78">
        <f>'2013-24-1 - Stavební úpra...'!$H$30</f>
        <v>0</v>
      </c>
      <c r="BB88" s="78">
        <f>'2013-24-1 - Stavební úpra...'!$H$31</f>
        <v>0</v>
      </c>
      <c r="BC88" s="78">
        <f>'2013-24-1 - Stavební úpra...'!$H$32</f>
        <v>0</v>
      </c>
      <c r="BD88" s="80">
        <f>'2013-24-1 - Stavební úpra...'!$H$33</f>
        <v>0</v>
      </c>
      <c r="BT88" s="73" t="s">
        <v>16</v>
      </c>
      <c r="BV88" s="73" t="s">
        <v>78</v>
      </c>
      <c r="BW88" s="73" t="s">
        <v>83</v>
      </c>
      <c r="BX88" s="73" t="s">
        <v>79</v>
      </c>
    </row>
    <row r="89" spans="2:76" s="73" customFormat="1" ht="28.5" customHeight="1">
      <c r="B89" s="74"/>
      <c r="C89" s="75"/>
      <c r="D89" s="177" t="s">
        <v>84</v>
      </c>
      <c r="E89" s="178"/>
      <c r="F89" s="178"/>
      <c r="G89" s="178"/>
      <c r="H89" s="178"/>
      <c r="I89" s="75"/>
      <c r="J89" s="177" t="s">
        <v>85</v>
      </c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5">
        <f>'2013-24-2 - Zpevněná plocha'!$M$27</f>
        <v>0</v>
      </c>
      <c r="AH89" s="176"/>
      <c r="AI89" s="176"/>
      <c r="AJ89" s="176"/>
      <c r="AK89" s="176"/>
      <c r="AL89" s="176"/>
      <c r="AM89" s="176"/>
      <c r="AN89" s="175">
        <f>ROUNDUP(SUM($AG$89,$AT$89),2)</f>
        <v>0</v>
      </c>
      <c r="AO89" s="176"/>
      <c r="AP89" s="176"/>
      <c r="AQ89" s="76"/>
      <c r="AS89" s="81">
        <f>'2013-24-2 - Zpevněná plocha'!$M$25</f>
        <v>0</v>
      </c>
      <c r="AT89" s="82">
        <f>ROUNDUP(SUM($AV$89:$AW$89),1)</f>
        <v>0</v>
      </c>
      <c r="AU89" s="83">
        <f>'2013-24-2 - Zpevněná plocha'!$W$121</f>
        <v>11.891679</v>
      </c>
      <c r="AV89" s="82">
        <f>'2013-24-2 - Zpevněná plocha'!$M$29</f>
        <v>0</v>
      </c>
      <c r="AW89" s="82">
        <f>'2013-24-2 - Zpevněná plocha'!$M$30</f>
        <v>0</v>
      </c>
      <c r="AX89" s="82">
        <f>'2013-24-2 - Zpevněná plocha'!$M$31</f>
        <v>0</v>
      </c>
      <c r="AY89" s="82">
        <f>'2013-24-2 - Zpevněná plocha'!$M$32</f>
        <v>0</v>
      </c>
      <c r="AZ89" s="82">
        <f>'2013-24-2 - Zpevněná plocha'!$H$29</f>
        <v>0</v>
      </c>
      <c r="BA89" s="82">
        <f>'2013-24-2 - Zpevněná plocha'!$H$30</f>
        <v>0</v>
      </c>
      <c r="BB89" s="82">
        <f>'2013-24-2 - Zpevněná plocha'!$H$31</f>
        <v>0</v>
      </c>
      <c r="BC89" s="82">
        <f>'2013-24-2 - Zpevněná plocha'!$H$32</f>
        <v>0</v>
      </c>
      <c r="BD89" s="84">
        <f>'2013-24-2 - Zpevněná plocha'!$H$33</f>
        <v>0</v>
      </c>
      <c r="BT89" s="73" t="s">
        <v>16</v>
      </c>
      <c r="BV89" s="73" t="s">
        <v>78</v>
      </c>
      <c r="BW89" s="73" t="s">
        <v>86</v>
      </c>
      <c r="BX89" s="73" t="s">
        <v>79</v>
      </c>
    </row>
    <row r="90" spans="2:43" s="2" customFormat="1" ht="14.25" customHeight="1"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3"/>
    </row>
    <row r="91" spans="2:49" s="7" customFormat="1" ht="30.75" customHeight="1">
      <c r="B91" s="23"/>
      <c r="C91" s="67" t="s">
        <v>87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73">
        <f>ROUNDUP(SUM($AG$92:$AG$104),2)</f>
        <v>0</v>
      </c>
      <c r="AH91" s="170"/>
      <c r="AI91" s="170"/>
      <c r="AJ91" s="170"/>
      <c r="AK91" s="170"/>
      <c r="AL91" s="170"/>
      <c r="AM91" s="170"/>
      <c r="AN91" s="173">
        <f>ROUNDUP(SUM($AN$92:$AN$104),2)</f>
        <v>0</v>
      </c>
      <c r="AO91" s="170"/>
      <c r="AP91" s="170"/>
      <c r="AQ91" s="25"/>
      <c r="AS91" s="62" t="s">
        <v>88</v>
      </c>
      <c r="AT91" s="63" t="s">
        <v>89</v>
      </c>
      <c r="AU91" s="63" t="s">
        <v>40</v>
      </c>
      <c r="AV91" s="64" t="s">
        <v>63</v>
      </c>
      <c r="AW91" s="65"/>
    </row>
    <row r="92" spans="2:89" s="7" customFormat="1" ht="21" customHeight="1">
      <c r="B92" s="23"/>
      <c r="C92" s="24"/>
      <c r="D92" s="85" t="s">
        <v>90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71">
        <f>ROUNDUP($AG$87*$AS$92,2)</f>
        <v>0</v>
      </c>
      <c r="AH92" s="170"/>
      <c r="AI92" s="170"/>
      <c r="AJ92" s="170"/>
      <c r="AK92" s="170"/>
      <c r="AL92" s="170"/>
      <c r="AM92" s="170"/>
      <c r="AN92" s="172">
        <f>ROUNDUP($AG$92+$AV$92,2)</f>
        <v>0</v>
      </c>
      <c r="AO92" s="170"/>
      <c r="AP92" s="170"/>
      <c r="AQ92" s="25"/>
      <c r="AS92" s="86">
        <v>0</v>
      </c>
      <c r="AT92" s="87" t="s">
        <v>91</v>
      </c>
      <c r="AU92" s="87" t="s">
        <v>41</v>
      </c>
      <c r="AV92" s="88">
        <f>ROUNDUP(IF($AU$92="základní",$AG$92*$L$28,IF($AU$92="snížená",$AG$92*$L$29,0)),2)</f>
        <v>0</v>
      </c>
      <c r="BV92" s="7" t="s">
        <v>92</v>
      </c>
      <c r="BY92" s="89">
        <f>IF($AU$92="základní",$AV$92,0)</f>
        <v>0</v>
      </c>
      <c r="BZ92" s="89">
        <f>IF($AU$92="snížená",$AV$92,0)</f>
        <v>0</v>
      </c>
      <c r="CA92" s="89">
        <v>0</v>
      </c>
      <c r="CB92" s="89">
        <v>0</v>
      </c>
      <c r="CC92" s="89">
        <v>0</v>
      </c>
      <c r="CD92" s="89">
        <f>IF($AU$92="základní",$AG$92,0)</f>
        <v>0</v>
      </c>
      <c r="CE92" s="89">
        <f>IF($AU$92="snížená",$AG$92,0)</f>
        <v>0</v>
      </c>
      <c r="CF92" s="89">
        <f>IF($AU$92="zákl. přenesená",$AG$92,0)</f>
        <v>0</v>
      </c>
      <c r="CG92" s="89">
        <f>IF($AU$92="sníž. přenesená",$AG$92,0)</f>
        <v>0</v>
      </c>
      <c r="CH92" s="89">
        <f>IF($AU$92="nulová",$AG$92,0)</f>
        <v>0</v>
      </c>
      <c r="CI92" s="7">
        <f>IF($AU$92="základní",1,IF($AU$92="snížená",2,IF($AU$92="zákl. přenesená",4,IF($AU$92="sníž. přenesená",5,3))))</f>
        <v>1</v>
      </c>
      <c r="CJ92" s="7">
        <f>IF($AT$92="stavební čast",1,IF(8892="investiční čast",2,3))</f>
        <v>1</v>
      </c>
      <c r="CK92" s="7" t="str">
        <f>IF($D$92="Vyplň vlastní","","x")</f>
        <v>x</v>
      </c>
    </row>
    <row r="93" spans="2:89" s="7" customFormat="1" ht="21" customHeight="1">
      <c r="B93" s="23"/>
      <c r="C93" s="24"/>
      <c r="D93" s="85" t="s">
        <v>93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171">
        <f>ROUNDUP($AG$87*$AS$93,2)</f>
        <v>0</v>
      </c>
      <c r="AH93" s="170"/>
      <c r="AI93" s="170"/>
      <c r="AJ93" s="170"/>
      <c r="AK93" s="170"/>
      <c r="AL93" s="170"/>
      <c r="AM93" s="170"/>
      <c r="AN93" s="172">
        <f>ROUNDUP($AG$93+$AV$93,2)</f>
        <v>0</v>
      </c>
      <c r="AO93" s="170"/>
      <c r="AP93" s="170"/>
      <c r="AQ93" s="25"/>
      <c r="AS93" s="90">
        <v>0</v>
      </c>
      <c r="AT93" s="91" t="s">
        <v>91</v>
      </c>
      <c r="AU93" s="91" t="s">
        <v>41</v>
      </c>
      <c r="AV93" s="92">
        <f>ROUNDUP(IF($AU$93="základní",$AG$93*$L$28,IF($AU$93="snížená",$AG$93*$L$29,0)),2)</f>
        <v>0</v>
      </c>
      <c r="BV93" s="7" t="s">
        <v>92</v>
      </c>
      <c r="BY93" s="89">
        <f>IF($AU$93="základní",$AV$93,0)</f>
        <v>0</v>
      </c>
      <c r="BZ93" s="89">
        <f>IF($AU$93="snížená",$AV$93,0)</f>
        <v>0</v>
      </c>
      <c r="CA93" s="89">
        <v>0</v>
      </c>
      <c r="CB93" s="89">
        <v>0</v>
      </c>
      <c r="CC93" s="89">
        <v>0</v>
      </c>
      <c r="CD93" s="89">
        <f>IF($AU$93="základní",$AG$93,0)</f>
        <v>0</v>
      </c>
      <c r="CE93" s="89">
        <f>IF($AU$93="snížená",$AG$93,0)</f>
        <v>0</v>
      </c>
      <c r="CF93" s="89">
        <f>IF($AU$93="zákl. přenesená",$AG$93,0)</f>
        <v>0</v>
      </c>
      <c r="CG93" s="89">
        <f>IF($AU$93="sníž. přenesená",$AG$93,0)</f>
        <v>0</v>
      </c>
      <c r="CH93" s="89">
        <f>IF($AU$93="nulová",$AG$93,0)</f>
        <v>0</v>
      </c>
      <c r="CI93" s="7">
        <f>IF($AU$93="základní",1,IF($AU$93="snížená",2,IF($AU$93="zákl. přenesená",4,IF($AU$93="sníž. přenesená",5,3))))</f>
        <v>1</v>
      </c>
      <c r="CJ93" s="7">
        <f>IF($AT$93="stavební čast",1,IF(8893="investiční čast",2,3))</f>
        <v>1</v>
      </c>
      <c r="CK93" s="7" t="str">
        <f>IF($D$93="Vyplň vlastní","","x")</f>
        <v>x</v>
      </c>
    </row>
    <row r="94" spans="2:89" s="7" customFormat="1" ht="21" customHeight="1">
      <c r="B94" s="23"/>
      <c r="C94" s="24"/>
      <c r="D94" s="85" t="s">
        <v>94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171">
        <f>ROUNDUP($AG$87*$AS$94,2)</f>
        <v>0</v>
      </c>
      <c r="AH94" s="170"/>
      <c r="AI94" s="170"/>
      <c r="AJ94" s="170"/>
      <c r="AK94" s="170"/>
      <c r="AL94" s="170"/>
      <c r="AM94" s="170"/>
      <c r="AN94" s="172">
        <f>ROUNDUP($AG$94+$AV$94,2)</f>
        <v>0</v>
      </c>
      <c r="AO94" s="170"/>
      <c r="AP94" s="170"/>
      <c r="AQ94" s="25"/>
      <c r="AS94" s="90">
        <v>0</v>
      </c>
      <c r="AT94" s="91" t="s">
        <v>91</v>
      </c>
      <c r="AU94" s="91" t="s">
        <v>41</v>
      </c>
      <c r="AV94" s="92">
        <f>ROUNDUP(IF($AU$94="základní",$AG$94*$L$28,IF($AU$94="snížená",$AG$94*$L$29,0)),2)</f>
        <v>0</v>
      </c>
      <c r="BV94" s="7" t="s">
        <v>92</v>
      </c>
      <c r="BY94" s="89">
        <f>IF($AU$94="základní",$AV$94,0)</f>
        <v>0</v>
      </c>
      <c r="BZ94" s="89">
        <f>IF($AU$94="snížená",$AV$94,0)</f>
        <v>0</v>
      </c>
      <c r="CA94" s="89">
        <v>0</v>
      </c>
      <c r="CB94" s="89">
        <v>0</v>
      </c>
      <c r="CC94" s="89">
        <v>0</v>
      </c>
      <c r="CD94" s="89">
        <f>IF($AU$94="základní",$AG$94,0)</f>
        <v>0</v>
      </c>
      <c r="CE94" s="89">
        <f>IF($AU$94="snížená",$AG$94,0)</f>
        <v>0</v>
      </c>
      <c r="CF94" s="89">
        <f>IF($AU$94="zákl. přenesená",$AG$94,0)</f>
        <v>0</v>
      </c>
      <c r="CG94" s="89">
        <f>IF($AU$94="sníž. přenesená",$AG$94,0)</f>
        <v>0</v>
      </c>
      <c r="CH94" s="89">
        <f>IF($AU$94="nulová",$AG$94,0)</f>
        <v>0</v>
      </c>
      <c r="CI94" s="7">
        <f>IF($AU$94="základní",1,IF($AU$94="snížená",2,IF($AU$94="zákl. přenesená",4,IF($AU$94="sníž. přenesená",5,3))))</f>
        <v>1</v>
      </c>
      <c r="CJ94" s="7">
        <f>IF($AT$94="stavební čast",1,IF(8894="investiční čast",2,3))</f>
        <v>1</v>
      </c>
      <c r="CK94" s="7" t="str">
        <f>IF($D$94="Vyplň vlastní","","x")</f>
        <v>x</v>
      </c>
    </row>
    <row r="95" spans="2:89" s="7" customFormat="1" ht="21" customHeight="1">
      <c r="B95" s="23"/>
      <c r="C95" s="24"/>
      <c r="D95" s="85" t="s">
        <v>95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171">
        <f>ROUNDUP($AG$87*$AS$95,2)</f>
        <v>0</v>
      </c>
      <c r="AH95" s="170"/>
      <c r="AI95" s="170"/>
      <c r="AJ95" s="170"/>
      <c r="AK95" s="170"/>
      <c r="AL95" s="170"/>
      <c r="AM95" s="170"/>
      <c r="AN95" s="172">
        <f>ROUNDUP($AG$95+$AV$95,2)</f>
        <v>0</v>
      </c>
      <c r="AO95" s="170"/>
      <c r="AP95" s="170"/>
      <c r="AQ95" s="25"/>
      <c r="AS95" s="90">
        <v>0</v>
      </c>
      <c r="AT95" s="91" t="s">
        <v>91</v>
      </c>
      <c r="AU95" s="91" t="s">
        <v>41</v>
      </c>
      <c r="AV95" s="92">
        <f>ROUNDUP(IF($AU$95="základní",$AG$95*$L$28,IF($AU$95="snížená",$AG$95*$L$29,0)),2)</f>
        <v>0</v>
      </c>
      <c r="BV95" s="7" t="s">
        <v>92</v>
      </c>
      <c r="BY95" s="89">
        <f>IF($AU$95="základní",$AV$95,0)</f>
        <v>0</v>
      </c>
      <c r="BZ95" s="89">
        <f>IF($AU$95="snížená",$AV$95,0)</f>
        <v>0</v>
      </c>
      <c r="CA95" s="89">
        <v>0</v>
      </c>
      <c r="CB95" s="89">
        <v>0</v>
      </c>
      <c r="CC95" s="89">
        <v>0</v>
      </c>
      <c r="CD95" s="89">
        <f>IF($AU$95="základní",$AG$95,0)</f>
        <v>0</v>
      </c>
      <c r="CE95" s="89">
        <f>IF($AU$95="snížená",$AG$95,0)</f>
        <v>0</v>
      </c>
      <c r="CF95" s="89">
        <f>IF($AU$95="zákl. přenesená",$AG$95,0)</f>
        <v>0</v>
      </c>
      <c r="CG95" s="89">
        <f>IF($AU$95="sníž. přenesená",$AG$95,0)</f>
        <v>0</v>
      </c>
      <c r="CH95" s="89">
        <f>IF($AU$95="nulová",$AG$95,0)</f>
        <v>0</v>
      </c>
      <c r="CI95" s="7">
        <f>IF($AU$95="základní",1,IF($AU$95="snížená",2,IF($AU$95="zákl. přenesená",4,IF($AU$95="sníž. přenesená",5,3))))</f>
        <v>1</v>
      </c>
      <c r="CJ95" s="7">
        <f>IF($AT$95="stavební čast",1,IF(8895="investiční čast",2,3))</f>
        <v>1</v>
      </c>
      <c r="CK95" s="7" t="str">
        <f>IF($D$95="Vyplň vlastní","","x")</f>
        <v>x</v>
      </c>
    </row>
    <row r="96" spans="2:89" s="7" customFormat="1" ht="21" customHeight="1">
      <c r="B96" s="23"/>
      <c r="C96" s="24"/>
      <c r="D96" s="85" t="s">
        <v>96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171">
        <f>ROUNDUP($AG$87*$AS$96,2)</f>
        <v>0</v>
      </c>
      <c r="AH96" s="170"/>
      <c r="AI96" s="170"/>
      <c r="AJ96" s="170"/>
      <c r="AK96" s="170"/>
      <c r="AL96" s="170"/>
      <c r="AM96" s="170"/>
      <c r="AN96" s="172">
        <f>ROUNDUP($AG$96+$AV$96,2)</f>
        <v>0</v>
      </c>
      <c r="AO96" s="170"/>
      <c r="AP96" s="170"/>
      <c r="AQ96" s="25"/>
      <c r="AS96" s="90">
        <v>0</v>
      </c>
      <c r="AT96" s="91" t="s">
        <v>91</v>
      </c>
      <c r="AU96" s="91" t="s">
        <v>41</v>
      </c>
      <c r="AV96" s="92">
        <f>ROUNDUP(IF($AU$96="základní",$AG$96*$L$28,IF($AU$96="snížená",$AG$96*$L$29,0)),2)</f>
        <v>0</v>
      </c>
      <c r="BV96" s="7" t="s">
        <v>92</v>
      </c>
      <c r="BY96" s="89">
        <f>IF($AU$96="základní",$AV$96,0)</f>
        <v>0</v>
      </c>
      <c r="BZ96" s="89">
        <f>IF($AU$96="snížená",$AV$96,0)</f>
        <v>0</v>
      </c>
      <c r="CA96" s="89">
        <v>0</v>
      </c>
      <c r="CB96" s="89">
        <v>0</v>
      </c>
      <c r="CC96" s="89">
        <v>0</v>
      </c>
      <c r="CD96" s="89">
        <f>IF($AU$96="základní",$AG$96,0)</f>
        <v>0</v>
      </c>
      <c r="CE96" s="89">
        <f>IF($AU$96="snížená",$AG$96,0)</f>
        <v>0</v>
      </c>
      <c r="CF96" s="89">
        <f>IF($AU$96="zákl. přenesená",$AG$96,0)</f>
        <v>0</v>
      </c>
      <c r="CG96" s="89">
        <f>IF($AU$96="sníž. přenesená",$AG$96,0)</f>
        <v>0</v>
      </c>
      <c r="CH96" s="89">
        <f>IF($AU$96="nulová",$AG$96,0)</f>
        <v>0</v>
      </c>
      <c r="CI96" s="7">
        <f>IF($AU$96="základní",1,IF($AU$96="snížená",2,IF($AU$96="zákl. přenesená",4,IF($AU$96="sníž. přenesená",5,3))))</f>
        <v>1</v>
      </c>
      <c r="CJ96" s="7">
        <f>IF($AT$96="stavební čast",1,IF(8896="investiční čast",2,3))</f>
        <v>1</v>
      </c>
      <c r="CK96" s="7" t="str">
        <f>IF($D$96="Vyplň vlastní","","x")</f>
        <v>x</v>
      </c>
    </row>
    <row r="97" spans="2:89" s="7" customFormat="1" ht="21" customHeight="1">
      <c r="B97" s="23"/>
      <c r="C97" s="24"/>
      <c r="D97" s="85" t="s">
        <v>97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171">
        <f>ROUNDUP($AG$87*$AS$97,2)</f>
        <v>0</v>
      </c>
      <c r="AH97" s="170"/>
      <c r="AI97" s="170"/>
      <c r="AJ97" s="170"/>
      <c r="AK97" s="170"/>
      <c r="AL97" s="170"/>
      <c r="AM97" s="170"/>
      <c r="AN97" s="172">
        <f>ROUNDUP($AG$97+$AV$97,2)</f>
        <v>0</v>
      </c>
      <c r="AO97" s="170"/>
      <c r="AP97" s="170"/>
      <c r="AQ97" s="25"/>
      <c r="AS97" s="90">
        <v>0</v>
      </c>
      <c r="AT97" s="91" t="s">
        <v>91</v>
      </c>
      <c r="AU97" s="91" t="s">
        <v>41</v>
      </c>
      <c r="AV97" s="92">
        <f>ROUNDUP(IF($AU$97="základní",$AG$97*$L$28,IF($AU$97="snížená",$AG$97*$L$29,0)),2)</f>
        <v>0</v>
      </c>
      <c r="BV97" s="7" t="s">
        <v>92</v>
      </c>
      <c r="BY97" s="89">
        <f>IF($AU$97="základní",$AV$97,0)</f>
        <v>0</v>
      </c>
      <c r="BZ97" s="89">
        <f>IF($AU$97="snížená",$AV$97,0)</f>
        <v>0</v>
      </c>
      <c r="CA97" s="89">
        <v>0</v>
      </c>
      <c r="CB97" s="89">
        <v>0</v>
      </c>
      <c r="CC97" s="89">
        <v>0</v>
      </c>
      <c r="CD97" s="89">
        <f>IF($AU$97="základní",$AG$97,0)</f>
        <v>0</v>
      </c>
      <c r="CE97" s="89">
        <f>IF($AU$97="snížená",$AG$97,0)</f>
        <v>0</v>
      </c>
      <c r="CF97" s="89">
        <f>IF($AU$97="zákl. přenesená",$AG$97,0)</f>
        <v>0</v>
      </c>
      <c r="CG97" s="89">
        <f>IF($AU$97="sníž. přenesená",$AG$97,0)</f>
        <v>0</v>
      </c>
      <c r="CH97" s="89">
        <f>IF($AU$97="nulová",$AG$97,0)</f>
        <v>0</v>
      </c>
      <c r="CI97" s="7">
        <f>IF($AU$97="základní",1,IF($AU$97="snížená",2,IF($AU$97="zákl. přenesená",4,IF($AU$97="sníž. přenesená",5,3))))</f>
        <v>1</v>
      </c>
      <c r="CJ97" s="7">
        <f>IF($AT$97="stavební čast",1,IF(8897="investiční čast",2,3))</f>
        <v>1</v>
      </c>
      <c r="CK97" s="7" t="str">
        <f>IF($D$97="Vyplň vlastní","","x")</f>
        <v>x</v>
      </c>
    </row>
    <row r="98" spans="2:89" s="7" customFormat="1" ht="21" customHeight="1">
      <c r="B98" s="23"/>
      <c r="C98" s="24"/>
      <c r="D98" s="85" t="s">
        <v>98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171">
        <f>ROUNDUP($AG$87*$AS$98,2)</f>
        <v>0</v>
      </c>
      <c r="AH98" s="170"/>
      <c r="AI98" s="170"/>
      <c r="AJ98" s="170"/>
      <c r="AK98" s="170"/>
      <c r="AL98" s="170"/>
      <c r="AM98" s="170"/>
      <c r="AN98" s="172">
        <f>ROUNDUP($AG$98+$AV$98,2)</f>
        <v>0</v>
      </c>
      <c r="AO98" s="170"/>
      <c r="AP98" s="170"/>
      <c r="AQ98" s="25"/>
      <c r="AS98" s="90">
        <v>0</v>
      </c>
      <c r="AT98" s="91" t="s">
        <v>91</v>
      </c>
      <c r="AU98" s="91" t="s">
        <v>41</v>
      </c>
      <c r="AV98" s="92">
        <f>ROUNDUP(IF($AU$98="základní",$AG$98*$L$28,IF($AU$98="snížená",$AG$98*$L$29,0)),2)</f>
        <v>0</v>
      </c>
      <c r="BV98" s="7" t="s">
        <v>92</v>
      </c>
      <c r="BY98" s="89">
        <f>IF($AU$98="základní",$AV$98,0)</f>
        <v>0</v>
      </c>
      <c r="BZ98" s="89">
        <f>IF($AU$98="snížená",$AV$98,0)</f>
        <v>0</v>
      </c>
      <c r="CA98" s="89">
        <v>0</v>
      </c>
      <c r="CB98" s="89">
        <v>0</v>
      </c>
      <c r="CC98" s="89">
        <v>0</v>
      </c>
      <c r="CD98" s="89">
        <f>IF($AU$98="základní",$AG$98,0)</f>
        <v>0</v>
      </c>
      <c r="CE98" s="89">
        <f>IF($AU$98="snížená",$AG$98,0)</f>
        <v>0</v>
      </c>
      <c r="CF98" s="89">
        <f>IF($AU$98="zákl. přenesená",$AG$98,0)</f>
        <v>0</v>
      </c>
      <c r="CG98" s="89">
        <f>IF($AU$98="sníž. přenesená",$AG$98,0)</f>
        <v>0</v>
      </c>
      <c r="CH98" s="89">
        <f>IF($AU$98="nulová",$AG$98,0)</f>
        <v>0</v>
      </c>
      <c r="CI98" s="7">
        <f>IF($AU$98="základní",1,IF($AU$98="snížená",2,IF($AU$98="zákl. přenesená",4,IF($AU$98="sníž. přenesená",5,3))))</f>
        <v>1</v>
      </c>
      <c r="CJ98" s="7">
        <f>IF($AT$98="stavební čast",1,IF(8898="investiční čast",2,3))</f>
        <v>1</v>
      </c>
      <c r="CK98" s="7" t="str">
        <f>IF($D$98="Vyplň vlastní","","x")</f>
        <v>x</v>
      </c>
    </row>
    <row r="99" spans="2:89" s="7" customFormat="1" ht="21" customHeight="1">
      <c r="B99" s="23"/>
      <c r="C99" s="24"/>
      <c r="D99" s="85" t="s">
        <v>99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171">
        <f>ROUNDUP($AG$87*$AS$99,2)</f>
        <v>0</v>
      </c>
      <c r="AH99" s="170"/>
      <c r="AI99" s="170"/>
      <c r="AJ99" s="170"/>
      <c r="AK99" s="170"/>
      <c r="AL99" s="170"/>
      <c r="AM99" s="170"/>
      <c r="AN99" s="172">
        <f>ROUNDUP($AG$99+$AV$99,2)</f>
        <v>0</v>
      </c>
      <c r="AO99" s="170"/>
      <c r="AP99" s="170"/>
      <c r="AQ99" s="25"/>
      <c r="AS99" s="90">
        <v>0</v>
      </c>
      <c r="AT99" s="91" t="s">
        <v>91</v>
      </c>
      <c r="AU99" s="91" t="s">
        <v>41</v>
      </c>
      <c r="AV99" s="92">
        <f>ROUNDUP(IF($AU$99="základní",$AG$99*$L$28,IF($AU$99="snížená",$AG$99*$L$29,0)),2)</f>
        <v>0</v>
      </c>
      <c r="BV99" s="7" t="s">
        <v>92</v>
      </c>
      <c r="BY99" s="89">
        <f>IF($AU$99="základní",$AV$99,0)</f>
        <v>0</v>
      </c>
      <c r="BZ99" s="89">
        <f>IF($AU$99="snížená",$AV$99,0)</f>
        <v>0</v>
      </c>
      <c r="CA99" s="89">
        <v>0</v>
      </c>
      <c r="CB99" s="89">
        <v>0</v>
      </c>
      <c r="CC99" s="89">
        <v>0</v>
      </c>
      <c r="CD99" s="89">
        <f>IF($AU$99="základní",$AG$99,0)</f>
        <v>0</v>
      </c>
      <c r="CE99" s="89">
        <f>IF($AU$99="snížená",$AG$99,0)</f>
        <v>0</v>
      </c>
      <c r="CF99" s="89">
        <f>IF($AU$99="zákl. přenesená",$AG$99,0)</f>
        <v>0</v>
      </c>
      <c r="CG99" s="89">
        <f>IF($AU$99="sníž. přenesená",$AG$99,0)</f>
        <v>0</v>
      </c>
      <c r="CH99" s="89">
        <f>IF($AU$99="nulová",$AG$99,0)</f>
        <v>0</v>
      </c>
      <c r="CI99" s="7">
        <f>IF($AU$99="základní",1,IF($AU$99="snížená",2,IF($AU$99="zákl. přenesená",4,IF($AU$99="sníž. přenesená",5,3))))</f>
        <v>1</v>
      </c>
      <c r="CJ99" s="7">
        <f>IF($AT$99="stavební čast",1,IF(8899="investiční čast",2,3))</f>
        <v>1</v>
      </c>
      <c r="CK99" s="7" t="str">
        <f>IF($D$99="Vyplň vlastní","","x")</f>
        <v>x</v>
      </c>
    </row>
    <row r="100" spans="2:89" s="7" customFormat="1" ht="21" customHeight="1">
      <c r="B100" s="23"/>
      <c r="C100" s="24"/>
      <c r="D100" s="85" t="s">
        <v>100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171">
        <f>ROUNDUP($AG$87*$AS$100,2)</f>
        <v>0</v>
      </c>
      <c r="AH100" s="170"/>
      <c r="AI100" s="170"/>
      <c r="AJ100" s="170"/>
      <c r="AK100" s="170"/>
      <c r="AL100" s="170"/>
      <c r="AM100" s="170"/>
      <c r="AN100" s="172">
        <f>ROUNDUP($AG$100+$AV$100,2)</f>
        <v>0</v>
      </c>
      <c r="AO100" s="170"/>
      <c r="AP100" s="170"/>
      <c r="AQ100" s="25"/>
      <c r="AS100" s="90">
        <v>0</v>
      </c>
      <c r="AT100" s="91" t="s">
        <v>91</v>
      </c>
      <c r="AU100" s="91" t="s">
        <v>41</v>
      </c>
      <c r="AV100" s="92">
        <f>ROUNDUP(IF($AU$100="základní",$AG$100*$L$28,IF($AU$100="snížená",$AG$100*$L$29,0)),2)</f>
        <v>0</v>
      </c>
      <c r="BV100" s="7" t="s">
        <v>92</v>
      </c>
      <c r="BY100" s="89">
        <f>IF($AU$100="základní",$AV$100,0)</f>
        <v>0</v>
      </c>
      <c r="BZ100" s="89">
        <f>IF($AU$100="snížená",$AV$100,0)</f>
        <v>0</v>
      </c>
      <c r="CA100" s="89">
        <v>0</v>
      </c>
      <c r="CB100" s="89">
        <v>0</v>
      </c>
      <c r="CC100" s="89">
        <v>0</v>
      </c>
      <c r="CD100" s="89">
        <f>IF($AU$100="základní",$AG$100,0)</f>
        <v>0</v>
      </c>
      <c r="CE100" s="89">
        <f>IF($AU$100="snížená",$AG$100,0)</f>
        <v>0</v>
      </c>
      <c r="CF100" s="89">
        <f>IF($AU$100="zákl. přenesená",$AG$100,0)</f>
        <v>0</v>
      </c>
      <c r="CG100" s="89">
        <f>IF($AU$100="sníž. přenesená",$AG$100,0)</f>
        <v>0</v>
      </c>
      <c r="CH100" s="89">
        <f>IF($AU$100="nulová",$AG$100,0)</f>
        <v>0</v>
      </c>
      <c r="CI100" s="7">
        <f>IF($AU$100="základní",1,IF($AU$100="snížená",2,IF($AU$100="zákl. přenesená",4,IF($AU$100="sníž. přenesená",5,3))))</f>
        <v>1</v>
      </c>
      <c r="CJ100" s="7">
        <f>IF($AT$100="stavební čast",1,IF(88100="investiční čast",2,3))</f>
        <v>1</v>
      </c>
      <c r="CK100" s="7" t="str">
        <f>IF($D$100="Vyplň vlastní","","x")</f>
        <v>x</v>
      </c>
    </row>
    <row r="101" spans="2:89" s="7" customFormat="1" ht="21" customHeight="1">
      <c r="B101" s="23"/>
      <c r="C101" s="24"/>
      <c r="D101" s="85" t="s">
        <v>101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171">
        <f>ROUNDUP($AG$87*$AS$101,2)</f>
        <v>0</v>
      </c>
      <c r="AH101" s="170"/>
      <c r="AI101" s="170"/>
      <c r="AJ101" s="170"/>
      <c r="AK101" s="170"/>
      <c r="AL101" s="170"/>
      <c r="AM101" s="170"/>
      <c r="AN101" s="172">
        <f>ROUNDUP($AG$101+$AV$101,2)</f>
        <v>0</v>
      </c>
      <c r="AO101" s="170"/>
      <c r="AP101" s="170"/>
      <c r="AQ101" s="25"/>
      <c r="AS101" s="90">
        <v>0</v>
      </c>
      <c r="AT101" s="91" t="s">
        <v>91</v>
      </c>
      <c r="AU101" s="91" t="s">
        <v>41</v>
      </c>
      <c r="AV101" s="92">
        <f>ROUNDUP(IF($AU$101="základní",$AG$101*$L$28,IF($AU$101="snížená",$AG$101*$L$29,0)),2)</f>
        <v>0</v>
      </c>
      <c r="BV101" s="7" t="s">
        <v>92</v>
      </c>
      <c r="BY101" s="89">
        <f>IF($AU$101="základní",$AV$101,0)</f>
        <v>0</v>
      </c>
      <c r="BZ101" s="89">
        <f>IF($AU$101="snížená",$AV$101,0)</f>
        <v>0</v>
      </c>
      <c r="CA101" s="89">
        <v>0</v>
      </c>
      <c r="CB101" s="89">
        <v>0</v>
      </c>
      <c r="CC101" s="89">
        <v>0</v>
      </c>
      <c r="CD101" s="89">
        <f>IF($AU$101="základní",$AG$101,0)</f>
        <v>0</v>
      </c>
      <c r="CE101" s="89">
        <f>IF($AU$101="snížená",$AG$101,0)</f>
        <v>0</v>
      </c>
      <c r="CF101" s="89">
        <f>IF($AU$101="zákl. přenesená",$AG$101,0)</f>
        <v>0</v>
      </c>
      <c r="CG101" s="89">
        <f>IF($AU$101="sníž. přenesená",$AG$101,0)</f>
        <v>0</v>
      </c>
      <c r="CH101" s="89">
        <f>IF($AU$101="nulová",$AG$101,0)</f>
        <v>0</v>
      </c>
      <c r="CI101" s="7">
        <f>IF($AU$101="základní",1,IF($AU$101="snížená",2,IF($AU$101="zákl. přenesená",4,IF($AU$101="sníž. přenesená",5,3))))</f>
        <v>1</v>
      </c>
      <c r="CJ101" s="7">
        <f>IF($AT$101="stavební čast",1,IF(88101="investiční čast",2,3))</f>
        <v>1</v>
      </c>
      <c r="CK101" s="7" t="str">
        <f>IF($D$101="Vyplň vlastní","","x")</f>
        <v>x</v>
      </c>
    </row>
    <row r="102" spans="2:89" s="7" customFormat="1" ht="21" customHeight="1">
      <c r="B102" s="23"/>
      <c r="C102" s="24"/>
      <c r="D102" s="169" t="s">
        <v>102</v>
      </c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24"/>
      <c r="AD102" s="24"/>
      <c r="AE102" s="24"/>
      <c r="AF102" s="24"/>
      <c r="AG102" s="171">
        <f>$AG$87*$AS$102</f>
        <v>0</v>
      </c>
      <c r="AH102" s="170"/>
      <c r="AI102" s="170"/>
      <c r="AJ102" s="170"/>
      <c r="AK102" s="170"/>
      <c r="AL102" s="170"/>
      <c r="AM102" s="170"/>
      <c r="AN102" s="172">
        <f>$AG$102+$AV$102</f>
        <v>0</v>
      </c>
      <c r="AO102" s="170"/>
      <c r="AP102" s="170"/>
      <c r="AQ102" s="25"/>
      <c r="AS102" s="90">
        <v>0</v>
      </c>
      <c r="AT102" s="91" t="s">
        <v>91</v>
      </c>
      <c r="AU102" s="91" t="s">
        <v>41</v>
      </c>
      <c r="AV102" s="92">
        <f>ROUNDUP(IF($AU$102="nulová",0,IF(OR($AU$102="základní",$AU$102="zákl. přenesená"),$AG$102*$L$28,$AG$102*$L$29)),1)</f>
        <v>0</v>
      </c>
      <c r="BV102" s="7" t="s">
        <v>103</v>
      </c>
      <c r="BY102" s="89">
        <f>IF($AU$102="základní",$AV$102,0)</f>
        <v>0</v>
      </c>
      <c r="BZ102" s="89">
        <f>IF($AU$102="snížená",$AV$102,0)</f>
        <v>0</v>
      </c>
      <c r="CA102" s="89">
        <f>IF($AU$102="zákl. přenesená",$AV$102,0)</f>
        <v>0</v>
      </c>
      <c r="CB102" s="89">
        <f>IF($AU$102="sníž. přenesená",$AV$102,0)</f>
        <v>0</v>
      </c>
      <c r="CC102" s="89">
        <f>IF($AU$102="nulová",$AV$102,0)</f>
        <v>0</v>
      </c>
      <c r="CD102" s="89">
        <f>IF($AU$102="základní",$AG$102,0)</f>
        <v>0</v>
      </c>
      <c r="CE102" s="89">
        <f>IF($AU$102="snížená",$AG$102,0)</f>
        <v>0</v>
      </c>
      <c r="CF102" s="89">
        <f>IF($AU$102="zákl. přenesená",$AG$102,0)</f>
        <v>0</v>
      </c>
      <c r="CG102" s="89">
        <f>IF($AU$102="sníž. přenesená",$AG$102,0)</f>
        <v>0</v>
      </c>
      <c r="CH102" s="89">
        <f>IF($AU$102="nulová",$AG$102,0)</f>
        <v>0</v>
      </c>
      <c r="CI102" s="7">
        <f>IF($AU$102="základní",1,IF($AU$102="snížená",2,IF($AU$102="zákl. přenesená",4,IF($AU$102="sníž. přenesená",5,3))))</f>
        <v>1</v>
      </c>
      <c r="CJ102" s="7">
        <f>IF($AT$102="stavební čast",1,IF(88102="investiční čast",2,3))</f>
        <v>1</v>
      </c>
      <c r="CK102" s="7">
        <f>IF($D$102="Vyplň vlastní","","x")</f>
      </c>
    </row>
    <row r="103" spans="2:89" s="7" customFormat="1" ht="21" customHeight="1">
      <c r="B103" s="23"/>
      <c r="C103" s="24"/>
      <c r="D103" s="169" t="s">
        <v>102</v>
      </c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24"/>
      <c r="AD103" s="24"/>
      <c r="AE103" s="24"/>
      <c r="AF103" s="24"/>
      <c r="AG103" s="171">
        <f>$AG$87*$AS$103</f>
        <v>0</v>
      </c>
      <c r="AH103" s="170"/>
      <c r="AI103" s="170"/>
      <c r="AJ103" s="170"/>
      <c r="AK103" s="170"/>
      <c r="AL103" s="170"/>
      <c r="AM103" s="170"/>
      <c r="AN103" s="172">
        <f>$AG$103+$AV$103</f>
        <v>0</v>
      </c>
      <c r="AO103" s="170"/>
      <c r="AP103" s="170"/>
      <c r="AQ103" s="25"/>
      <c r="AS103" s="90">
        <v>0</v>
      </c>
      <c r="AT103" s="91" t="s">
        <v>91</v>
      </c>
      <c r="AU103" s="91" t="s">
        <v>41</v>
      </c>
      <c r="AV103" s="92">
        <f>ROUNDUP(IF($AU$103="nulová",0,IF(OR($AU$103="základní",$AU$103="zákl. přenesená"),$AG$103*$L$28,$AG$103*$L$29)),1)</f>
        <v>0</v>
      </c>
      <c r="BV103" s="7" t="s">
        <v>103</v>
      </c>
      <c r="BY103" s="89">
        <f>IF($AU$103="základní",$AV$103,0)</f>
        <v>0</v>
      </c>
      <c r="BZ103" s="89">
        <f>IF($AU$103="snížená",$AV$103,0)</f>
        <v>0</v>
      </c>
      <c r="CA103" s="89">
        <f>IF($AU$103="zákl. přenesená",$AV$103,0)</f>
        <v>0</v>
      </c>
      <c r="CB103" s="89">
        <f>IF($AU$103="sníž. přenesená",$AV$103,0)</f>
        <v>0</v>
      </c>
      <c r="CC103" s="89">
        <f>IF($AU$103="nulová",$AV$103,0)</f>
        <v>0</v>
      </c>
      <c r="CD103" s="89">
        <f>IF($AU$103="základní",$AG$103,0)</f>
        <v>0</v>
      </c>
      <c r="CE103" s="89">
        <f>IF($AU$103="snížená",$AG$103,0)</f>
        <v>0</v>
      </c>
      <c r="CF103" s="89">
        <f>IF($AU$103="zákl. přenesená",$AG$103,0)</f>
        <v>0</v>
      </c>
      <c r="CG103" s="89">
        <f>IF($AU$103="sníž. přenesená",$AG$103,0)</f>
        <v>0</v>
      </c>
      <c r="CH103" s="89">
        <f>IF($AU$103="nulová",$AG$103,0)</f>
        <v>0</v>
      </c>
      <c r="CI103" s="7">
        <f>IF($AU$103="základní",1,IF($AU$103="snížená",2,IF($AU$103="zákl. přenesená",4,IF($AU$103="sníž. přenesená",5,3))))</f>
        <v>1</v>
      </c>
      <c r="CJ103" s="7">
        <f>IF($AT$103="stavební čast",1,IF(88103="investiční čast",2,3))</f>
        <v>1</v>
      </c>
      <c r="CK103" s="7">
        <f>IF($D$103="Vyplň vlastní","","x")</f>
      </c>
    </row>
    <row r="104" spans="2:89" s="7" customFormat="1" ht="21" customHeight="1">
      <c r="B104" s="23"/>
      <c r="C104" s="24"/>
      <c r="D104" s="169" t="s">
        <v>102</v>
      </c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24"/>
      <c r="AD104" s="24"/>
      <c r="AE104" s="24"/>
      <c r="AF104" s="24"/>
      <c r="AG104" s="171">
        <f>$AG$87*$AS$104</f>
        <v>0</v>
      </c>
      <c r="AH104" s="170"/>
      <c r="AI104" s="170"/>
      <c r="AJ104" s="170"/>
      <c r="AK104" s="170"/>
      <c r="AL104" s="170"/>
      <c r="AM104" s="170"/>
      <c r="AN104" s="172">
        <f>$AG$104+$AV$104</f>
        <v>0</v>
      </c>
      <c r="AO104" s="170"/>
      <c r="AP104" s="170"/>
      <c r="AQ104" s="25"/>
      <c r="AS104" s="93">
        <v>0</v>
      </c>
      <c r="AT104" s="94" t="s">
        <v>91</v>
      </c>
      <c r="AU104" s="94" t="s">
        <v>41</v>
      </c>
      <c r="AV104" s="95">
        <f>ROUNDUP(IF($AU$104="nulová",0,IF(OR($AU$104="základní",$AU$104="zákl. přenesená"),$AG$104*$L$28,$AG$104*$L$29)),1)</f>
        <v>0</v>
      </c>
      <c r="BV104" s="7" t="s">
        <v>103</v>
      </c>
      <c r="BY104" s="89">
        <f>IF($AU$104="základní",$AV$104,0)</f>
        <v>0</v>
      </c>
      <c r="BZ104" s="89">
        <f>IF($AU$104="snížená",$AV$104,0)</f>
        <v>0</v>
      </c>
      <c r="CA104" s="89">
        <f>IF($AU$104="zákl. přenesená",$AV$104,0)</f>
        <v>0</v>
      </c>
      <c r="CB104" s="89">
        <f>IF($AU$104="sníž. přenesená",$AV$104,0)</f>
        <v>0</v>
      </c>
      <c r="CC104" s="89">
        <f>IF($AU$104="nulová",$AV$104,0)</f>
        <v>0</v>
      </c>
      <c r="CD104" s="89">
        <f>IF($AU$104="základní",$AG$104,0)</f>
        <v>0</v>
      </c>
      <c r="CE104" s="89">
        <f>IF($AU$104="snížená",$AG$104,0)</f>
        <v>0</v>
      </c>
      <c r="CF104" s="89">
        <f>IF($AU$104="zákl. přenesená",$AG$104,0)</f>
        <v>0</v>
      </c>
      <c r="CG104" s="89">
        <f>IF($AU$104="sníž. přenesená",$AG$104,0)</f>
        <v>0</v>
      </c>
      <c r="CH104" s="89">
        <f>IF($AU$104="nulová",$AG$104,0)</f>
        <v>0</v>
      </c>
      <c r="CI104" s="7">
        <f>IF($AU$104="základní",1,IF($AU$104="snížená",2,IF($AU$104="zákl. přenesená",4,IF($AU$104="sníž. přenesená",5,3))))</f>
        <v>1</v>
      </c>
      <c r="CJ104" s="7">
        <f>IF($AT$104="stavební čast",1,IF(88104="investiční čast",2,3))</f>
        <v>1</v>
      </c>
      <c r="CK104" s="7">
        <f>IF($D$104="Vyplň vlastní","","x")</f>
      </c>
    </row>
    <row r="105" spans="2:43" s="7" customFormat="1" ht="12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5"/>
    </row>
    <row r="106" spans="2:43" s="7" customFormat="1" ht="30.75" customHeight="1">
      <c r="B106" s="23"/>
      <c r="C106" s="96" t="s">
        <v>104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165">
        <f>ROUNDUP($AG$87+$AG$91,2)</f>
        <v>0</v>
      </c>
      <c r="AH106" s="166"/>
      <c r="AI106" s="166"/>
      <c r="AJ106" s="166"/>
      <c r="AK106" s="166"/>
      <c r="AL106" s="166"/>
      <c r="AM106" s="166"/>
      <c r="AN106" s="165">
        <f>ROUNDUP($AN$87+$AN$91,2)</f>
        <v>0</v>
      </c>
      <c r="AO106" s="166"/>
      <c r="AP106" s="166"/>
      <c r="AQ106" s="25"/>
    </row>
    <row r="107" spans="2:43" s="7" customFormat="1" ht="7.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8"/>
    </row>
  </sheetData>
  <sheetProtection/>
  <mergeCells count="78"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4"/>
  <sheetViews>
    <sheetView showGridLines="0" zoomScalePageLayoutView="0" workbookViewId="0" topLeftCell="A1">
      <pane ySplit="1" topLeftCell="A202" activePane="bottomLeft" state="frozen"/>
      <selection pane="topLeft" activeCell="A1" sqref="A1"/>
      <selection pane="bottomLeft" activeCell="F8" sqref="F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3" width="7.3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204"/>
      <c r="I1" s="205"/>
      <c r="J1" s="205"/>
      <c r="K1" s="205"/>
      <c r="L1" s="5"/>
      <c r="M1" s="5"/>
      <c r="N1" s="5"/>
      <c r="O1" s="6" t="s">
        <v>105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6" t="s">
        <v>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167" t="s">
        <v>5</v>
      </c>
      <c r="T2" s="168"/>
      <c r="U2" s="168"/>
      <c r="V2" s="168"/>
      <c r="W2" s="168"/>
      <c r="X2" s="168"/>
      <c r="Y2" s="168"/>
      <c r="Z2" s="168"/>
      <c r="AA2" s="168"/>
      <c r="AB2" s="168"/>
      <c r="AC2" s="168"/>
      <c r="AT2" s="2" t="s">
        <v>83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106</v>
      </c>
    </row>
    <row r="4" spans="2:46" s="2" customFormat="1" ht="37.5" customHeight="1">
      <c r="B4" s="11"/>
      <c r="C4" s="185" t="s">
        <v>107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3"/>
      <c r="T4" s="14" t="s">
        <v>10</v>
      </c>
      <c r="AT4" s="2" t="s">
        <v>3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7" t="s">
        <v>14</v>
      </c>
      <c r="E6" s="12"/>
      <c r="F6" s="229" t="str">
        <f>'Rekapitulace stavby'!$K$6</f>
        <v>2013-24 - Stavební úpravy stodoly - p.č. 11/5 na sklad protipovodňových prostředků - nabídkový rozpočet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2"/>
      <c r="R6" s="13"/>
    </row>
    <row r="7" spans="2:18" s="7" customFormat="1" ht="18.75" customHeight="1">
      <c r="B7" s="23"/>
      <c r="C7" s="24"/>
      <c r="D7" s="16" t="s">
        <v>108</v>
      </c>
      <c r="E7" s="24"/>
      <c r="F7" s="242" t="s">
        <v>792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4"/>
      <c r="R7" s="25"/>
    </row>
    <row r="8" spans="2:18" s="7" customFormat="1" ht="7.5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s="7" customFormat="1" ht="15" customHeight="1">
      <c r="B9" s="23"/>
      <c r="C9" s="24"/>
      <c r="D9" s="17" t="s">
        <v>17</v>
      </c>
      <c r="E9" s="24"/>
      <c r="F9" s="18" t="s">
        <v>18</v>
      </c>
      <c r="G9" s="24"/>
      <c r="H9" s="24"/>
      <c r="I9" s="24"/>
      <c r="J9" s="24"/>
      <c r="K9" s="24"/>
      <c r="L9" s="24"/>
      <c r="M9" s="17" t="s">
        <v>19</v>
      </c>
      <c r="N9" s="24"/>
      <c r="O9" s="237" t="str">
        <f>'Rekapitulace stavby'!$AN$8</f>
        <v>18.09.2013</v>
      </c>
      <c r="P9" s="170"/>
      <c r="Q9" s="24"/>
      <c r="R9" s="25"/>
    </row>
    <row r="10" spans="2:18" s="7" customFormat="1" ht="7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7" customFormat="1" ht="15" customHeight="1">
      <c r="B11" s="23"/>
      <c r="C11" s="24"/>
      <c r="D11" s="17" t="s">
        <v>23</v>
      </c>
      <c r="E11" s="24"/>
      <c r="F11" s="24"/>
      <c r="G11" s="24"/>
      <c r="H11" s="24"/>
      <c r="I11" s="24"/>
      <c r="J11" s="24"/>
      <c r="K11" s="24"/>
      <c r="L11" s="24"/>
      <c r="M11" s="17" t="s">
        <v>24</v>
      </c>
      <c r="N11" s="24"/>
      <c r="O11" s="187" t="s">
        <v>25</v>
      </c>
      <c r="P11" s="170"/>
      <c r="Q11" s="24"/>
      <c r="R11" s="25"/>
    </row>
    <row r="12" spans="2:18" s="7" customFormat="1" ht="18.75" customHeight="1">
      <c r="B12" s="23"/>
      <c r="C12" s="24"/>
      <c r="D12" s="24"/>
      <c r="E12" s="18" t="s">
        <v>26</v>
      </c>
      <c r="F12" s="24"/>
      <c r="G12" s="24"/>
      <c r="H12" s="24"/>
      <c r="I12" s="24"/>
      <c r="J12" s="24"/>
      <c r="K12" s="24"/>
      <c r="L12" s="24"/>
      <c r="M12" s="17" t="s">
        <v>27</v>
      </c>
      <c r="N12" s="24"/>
      <c r="O12" s="187"/>
      <c r="P12" s="170"/>
      <c r="Q12" s="24"/>
      <c r="R12" s="25"/>
    </row>
    <row r="13" spans="2:18" s="7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7" customFormat="1" ht="15" customHeight="1">
      <c r="B14" s="23"/>
      <c r="C14" s="24"/>
      <c r="D14" s="17" t="s">
        <v>28</v>
      </c>
      <c r="E14" s="24"/>
      <c r="F14" s="24"/>
      <c r="G14" s="24"/>
      <c r="H14" s="24"/>
      <c r="I14" s="24"/>
      <c r="J14" s="24"/>
      <c r="K14" s="24"/>
      <c r="L14" s="24"/>
      <c r="M14" s="17" t="s">
        <v>24</v>
      </c>
      <c r="N14" s="24"/>
      <c r="O14" s="236" t="str">
        <f>IF('Rekapitulace stavby'!$AN$13="","",'Rekapitulace stavby'!$AN$13)</f>
        <v>Vyplň údaj</v>
      </c>
      <c r="P14" s="170"/>
      <c r="Q14" s="24"/>
      <c r="R14" s="25"/>
    </row>
    <row r="15" spans="2:18" s="7" customFormat="1" ht="18.75" customHeight="1">
      <c r="B15" s="23"/>
      <c r="C15" s="24"/>
      <c r="D15" s="24"/>
      <c r="E15" s="236" t="str">
        <f>IF('Rekapitulace stavby'!$E$14="","",'Rekapitulace stavby'!$E$14)</f>
        <v>Vyplň údaj</v>
      </c>
      <c r="F15" s="170"/>
      <c r="G15" s="170"/>
      <c r="H15" s="170"/>
      <c r="I15" s="170"/>
      <c r="J15" s="170"/>
      <c r="K15" s="170"/>
      <c r="L15" s="170"/>
      <c r="M15" s="17" t="s">
        <v>27</v>
      </c>
      <c r="N15" s="24"/>
      <c r="O15" s="236" t="str">
        <f>IF('Rekapitulace stavby'!$AN$14="","",'Rekapitulace stavby'!$AN$14)</f>
        <v>Vyplň údaj</v>
      </c>
      <c r="P15" s="170"/>
      <c r="Q15" s="24"/>
      <c r="R15" s="25"/>
    </row>
    <row r="16" spans="2:18" s="7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7" customFormat="1" ht="15" customHeight="1">
      <c r="B17" s="23"/>
      <c r="C17" s="24"/>
      <c r="D17" s="17" t="s">
        <v>30</v>
      </c>
      <c r="E17" s="24"/>
      <c r="F17" s="24"/>
      <c r="G17" s="24"/>
      <c r="H17" s="24"/>
      <c r="I17" s="24"/>
      <c r="J17" s="24"/>
      <c r="K17" s="24"/>
      <c r="L17" s="24"/>
      <c r="M17" s="17" t="s">
        <v>24</v>
      </c>
      <c r="N17" s="24"/>
      <c r="O17" s="187" t="s">
        <v>31</v>
      </c>
      <c r="P17" s="170"/>
      <c r="Q17" s="24"/>
      <c r="R17" s="25"/>
    </row>
    <row r="18" spans="2:18" s="7" customFormat="1" ht="18.75" customHeight="1">
      <c r="B18" s="23"/>
      <c r="C18" s="24"/>
      <c r="D18" s="24"/>
      <c r="E18" s="18" t="s">
        <v>32</v>
      </c>
      <c r="F18" s="24"/>
      <c r="G18" s="24"/>
      <c r="H18" s="24"/>
      <c r="I18" s="24"/>
      <c r="J18" s="24"/>
      <c r="K18" s="24"/>
      <c r="L18" s="24"/>
      <c r="M18" s="17" t="s">
        <v>27</v>
      </c>
      <c r="N18" s="24"/>
      <c r="O18" s="187"/>
      <c r="P18" s="170"/>
      <c r="Q18" s="24"/>
      <c r="R18" s="25"/>
    </row>
    <row r="19" spans="2:18" s="7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7" customFormat="1" ht="15" customHeight="1">
      <c r="B20" s="23"/>
      <c r="C20" s="24"/>
      <c r="D20" s="17" t="s">
        <v>34</v>
      </c>
      <c r="E20" s="24"/>
      <c r="F20" s="24"/>
      <c r="G20" s="24"/>
      <c r="H20" s="24"/>
      <c r="I20" s="24"/>
      <c r="J20" s="24"/>
      <c r="K20" s="24"/>
      <c r="L20" s="24"/>
      <c r="M20" s="17" t="s">
        <v>24</v>
      </c>
      <c r="N20" s="24"/>
      <c r="O20" s="187" t="s">
        <v>35</v>
      </c>
      <c r="P20" s="170"/>
      <c r="Q20" s="24"/>
      <c r="R20" s="25"/>
    </row>
    <row r="21" spans="2:18" s="7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27</v>
      </c>
      <c r="N21" s="24"/>
      <c r="O21" s="187"/>
      <c r="P21" s="170"/>
      <c r="Q21" s="24"/>
      <c r="R21" s="25"/>
    </row>
    <row r="22" spans="2:18" s="7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7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7" customFormat="1" ht="15" customHeight="1">
      <c r="B24" s="23"/>
      <c r="C24" s="24"/>
      <c r="D24" s="97" t="s">
        <v>109</v>
      </c>
      <c r="E24" s="24"/>
      <c r="F24" s="24"/>
      <c r="G24" s="24"/>
      <c r="H24" s="24"/>
      <c r="I24" s="24"/>
      <c r="J24" s="24"/>
      <c r="K24" s="24"/>
      <c r="L24" s="24"/>
      <c r="M24" s="201">
        <f>$N$88</f>
        <v>0</v>
      </c>
      <c r="N24" s="170"/>
      <c r="O24" s="170"/>
      <c r="P24" s="170"/>
      <c r="Q24" s="24"/>
      <c r="R24" s="25"/>
    </row>
    <row r="25" spans="2:18" s="7" customFormat="1" ht="15" customHeight="1">
      <c r="B25" s="23"/>
      <c r="C25" s="24"/>
      <c r="D25" s="22" t="s">
        <v>97</v>
      </c>
      <c r="E25" s="24"/>
      <c r="F25" s="24"/>
      <c r="G25" s="24"/>
      <c r="H25" s="24"/>
      <c r="I25" s="24"/>
      <c r="J25" s="24"/>
      <c r="K25" s="24"/>
      <c r="L25" s="24"/>
      <c r="M25" s="201">
        <f>$N$112</f>
        <v>0</v>
      </c>
      <c r="N25" s="170"/>
      <c r="O25" s="170"/>
      <c r="P25" s="170"/>
      <c r="Q25" s="24"/>
      <c r="R25" s="25"/>
    </row>
    <row r="26" spans="2:18" s="7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7" customFormat="1" ht="26.25" customHeight="1">
      <c r="B27" s="23"/>
      <c r="C27" s="24"/>
      <c r="D27" s="98" t="s">
        <v>39</v>
      </c>
      <c r="E27" s="24"/>
      <c r="F27" s="24"/>
      <c r="G27" s="24"/>
      <c r="H27" s="24"/>
      <c r="I27" s="24"/>
      <c r="J27" s="24"/>
      <c r="K27" s="24"/>
      <c r="L27" s="24"/>
      <c r="M27" s="235">
        <f>ROUNDUP($M$24+$M$25,2)</f>
        <v>0</v>
      </c>
      <c r="N27" s="170"/>
      <c r="O27" s="170"/>
      <c r="P27" s="170"/>
      <c r="Q27" s="24"/>
      <c r="R27" s="25"/>
    </row>
    <row r="28" spans="2:18" s="7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7" customFormat="1" ht="15" customHeight="1">
      <c r="B29" s="23"/>
      <c r="C29" s="24"/>
      <c r="D29" s="29" t="s">
        <v>40</v>
      </c>
      <c r="E29" s="29" t="s">
        <v>41</v>
      </c>
      <c r="F29" s="30">
        <v>0.21</v>
      </c>
      <c r="G29" s="99" t="s">
        <v>42</v>
      </c>
      <c r="H29" s="234">
        <f>ROUNDUP((((SUM($BE$112:$BE$119)+SUM($BE$137:$BE$517))+SUM($BE$519:$BE$523))),2)</f>
        <v>0</v>
      </c>
      <c r="I29" s="170"/>
      <c r="J29" s="170"/>
      <c r="K29" s="24"/>
      <c r="L29" s="24"/>
      <c r="M29" s="234">
        <f>ROUNDUP((((SUM($BE$112:$BE$119)+SUM($BE$137:$BE$517))*$F$29)+SUM($BE$519:$BE$523)*$F$29),1)</f>
        <v>0</v>
      </c>
      <c r="N29" s="170"/>
      <c r="O29" s="170"/>
      <c r="P29" s="170"/>
      <c r="Q29" s="24"/>
      <c r="R29" s="25"/>
    </row>
    <row r="30" spans="2:18" s="7" customFormat="1" ht="15" customHeight="1">
      <c r="B30" s="23"/>
      <c r="C30" s="24"/>
      <c r="D30" s="24"/>
      <c r="E30" s="29" t="s">
        <v>43</v>
      </c>
      <c r="F30" s="30">
        <v>0.15</v>
      </c>
      <c r="G30" s="99" t="s">
        <v>42</v>
      </c>
      <c r="H30" s="234">
        <f>ROUNDUP((((SUM($BF$112:$BF$119)+SUM($BF$137:$BF$517))+SUM($BF$519:$BF$523))),2)</f>
        <v>0</v>
      </c>
      <c r="I30" s="170"/>
      <c r="J30" s="170"/>
      <c r="K30" s="24"/>
      <c r="L30" s="24"/>
      <c r="M30" s="234">
        <f>ROUNDUP((((SUM($BF$112:$BF$119)+SUM($BF$137:$BF$517))*$F$30)+SUM($BF$519:$BF$523)*$F$30),1)</f>
        <v>0</v>
      </c>
      <c r="N30" s="170"/>
      <c r="O30" s="170"/>
      <c r="P30" s="170"/>
      <c r="Q30" s="24"/>
      <c r="R30" s="25"/>
    </row>
    <row r="31" spans="2:18" s="7" customFormat="1" ht="15" customHeight="1" hidden="1">
      <c r="B31" s="23"/>
      <c r="C31" s="24"/>
      <c r="D31" s="24"/>
      <c r="E31" s="29" t="s">
        <v>44</v>
      </c>
      <c r="F31" s="30">
        <v>0.21</v>
      </c>
      <c r="G31" s="99" t="s">
        <v>42</v>
      </c>
      <c r="H31" s="234">
        <f>ROUNDUP((((SUM($BG$112:$BG$119)+SUM($BG$137:$BG$517))+SUM($BG$519:$BG$523))),2)</f>
        <v>0</v>
      </c>
      <c r="I31" s="170"/>
      <c r="J31" s="170"/>
      <c r="K31" s="24"/>
      <c r="L31" s="24"/>
      <c r="M31" s="234">
        <v>0</v>
      </c>
      <c r="N31" s="170"/>
      <c r="O31" s="170"/>
      <c r="P31" s="170"/>
      <c r="Q31" s="24"/>
      <c r="R31" s="25"/>
    </row>
    <row r="32" spans="2:18" s="7" customFormat="1" ht="15" customHeight="1" hidden="1">
      <c r="B32" s="23"/>
      <c r="C32" s="24"/>
      <c r="D32" s="24"/>
      <c r="E32" s="29" t="s">
        <v>45</v>
      </c>
      <c r="F32" s="30">
        <v>0.15</v>
      </c>
      <c r="G32" s="99" t="s">
        <v>42</v>
      </c>
      <c r="H32" s="234">
        <f>ROUNDUP((((SUM($BH$112:$BH$119)+SUM($BH$137:$BH$517))+SUM($BH$519:$BH$523))),2)</f>
        <v>0</v>
      </c>
      <c r="I32" s="170"/>
      <c r="J32" s="170"/>
      <c r="K32" s="24"/>
      <c r="L32" s="24"/>
      <c r="M32" s="234">
        <v>0</v>
      </c>
      <c r="N32" s="170"/>
      <c r="O32" s="170"/>
      <c r="P32" s="170"/>
      <c r="Q32" s="24"/>
      <c r="R32" s="25"/>
    </row>
    <row r="33" spans="2:18" s="7" customFormat="1" ht="15" customHeight="1" hidden="1">
      <c r="B33" s="23"/>
      <c r="C33" s="24"/>
      <c r="D33" s="24"/>
      <c r="E33" s="29" t="s">
        <v>46</v>
      </c>
      <c r="F33" s="30">
        <v>0</v>
      </c>
      <c r="G33" s="99" t="s">
        <v>42</v>
      </c>
      <c r="H33" s="234">
        <f>ROUNDUP((((SUM($BI$112:$BI$119)+SUM($BI$137:$BI$517))+SUM($BI$519:$BI$523))),2)</f>
        <v>0</v>
      </c>
      <c r="I33" s="170"/>
      <c r="J33" s="170"/>
      <c r="K33" s="24"/>
      <c r="L33" s="24"/>
      <c r="M33" s="234">
        <v>0</v>
      </c>
      <c r="N33" s="170"/>
      <c r="O33" s="170"/>
      <c r="P33" s="170"/>
      <c r="Q33" s="24"/>
      <c r="R33" s="25"/>
    </row>
    <row r="34" spans="2:18" s="7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7" customFormat="1" ht="26.25" customHeight="1">
      <c r="B35" s="23"/>
      <c r="C35" s="33"/>
      <c r="D35" s="34" t="s">
        <v>47</v>
      </c>
      <c r="E35" s="35"/>
      <c r="F35" s="35"/>
      <c r="G35" s="100" t="s">
        <v>48</v>
      </c>
      <c r="H35" s="36" t="s">
        <v>49</v>
      </c>
      <c r="I35" s="35"/>
      <c r="J35" s="35"/>
      <c r="K35" s="35"/>
      <c r="L35" s="184">
        <f>ROUNDUP(SUM($M$27:$M$33),2)</f>
        <v>0</v>
      </c>
      <c r="M35" s="180"/>
      <c r="N35" s="180"/>
      <c r="O35" s="180"/>
      <c r="P35" s="182"/>
      <c r="Q35" s="33"/>
      <c r="R35" s="25"/>
    </row>
    <row r="36" spans="2:18" s="7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7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23"/>
      <c r="C50" s="24"/>
      <c r="D50" s="37" t="s">
        <v>50</v>
      </c>
      <c r="E50" s="38"/>
      <c r="F50" s="38"/>
      <c r="G50" s="38"/>
      <c r="H50" s="39"/>
      <c r="I50" s="24"/>
      <c r="J50" s="37" t="s">
        <v>51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1"/>
      <c r="C51" s="12"/>
      <c r="D51" s="40"/>
      <c r="E51" s="12"/>
      <c r="F51" s="12"/>
      <c r="G51" s="12"/>
      <c r="H51" s="41"/>
      <c r="I51" s="12"/>
      <c r="J51" s="40"/>
      <c r="K51" s="12"/>
      <c r="L51" s="12"/>
      <c r="M51" s="12"/>
      <c r="N51" s="12"/>
      <c r="O51" s="12"/>
      <c r="P51" s="41"/>
      <c r="Q51" s="12"/>
      <c r="R51" s="13"/>
    </row>
    <row r="52" spans="2:18" s="2" customFormat="1" ht="14.25" customHeight="1">
      <c r="B52" s="11"/>
      <c r="C52" s="12"/>
      <c r="D52" s="40"/>
      <c r="E52" s="12"/>
      <c r="F52" s="12"/>
      <c r="G52" s="12"/>
      <c r="H52" s="41"/>
      <c r="I52" s="12"/>
      <c r="J52" s="40"/>
      <c r="K52" s="12"/>
      <c r="L52" s="12"/>
      <c r="M52" s="12"/>
      <c r="N52" s="12"/>
      <c r="O52" s="12"/>
      <c r="P52" s="41"/>
      <c r="Q52" s="12"/>
      <c r="R52" s="13"/>
    </row>
    <row r="53" spans="2:18" s="2" customFormat="1" ht="14.25" customHeight="1">
      <c r="B53" s="11"/>
      <c r="C53" s="12"/>
      <c r="D53" s="40"/>
      <c r="E53" s="12"/>
      <c r="F53" s="12"/>
      <c r="G53" s="12"/>
      <c r="H53" s="41"/>
      <c r="I53" s="12"/>
      <c r="J53" s="40"/>
      <c r="K53" s="12"/>
      <c r="L53" s="12"/>
      <c r="M53" s="12"/>
      <c r="N53" s="12"/>
      <c r="O53" s="12"/>
      <c r="P53" s="41"/>
      <c r="Q53" s="12"/>
      <c r="R53" s="13"/>
    </row>
    <row r="54" spans="2:18" s="2" customFormat="1" ht="14.25" customHeight="1">
      <c r="B54" s="11"/>
      <c r="C54" s="12"/>
      <c r="D54" s="40"/>
      <c r="E54" s="12"/>
      <c r="F54" s="12"/>
      <c r="G54" s="12"/>
      <c r="H54" s="41"/>
      <c r="I54" s="12"/>
      <c r="J54" s="40"/>
      <c r="K54" s="12"/>
      <c r="L54" s="12"/>
      <c r="M54" s="12"/>
      <c r="N54" s="12"/>
      <c r="O54" s="12"/>
      <c r="P54" s="41"/>
      <c r="Q54" s="12"/>
      <c r="R54" s="13"/>
    </row>
    <row r="55" spans="2:18" s="2" customFormat="1" ht="14.25" customHeight="1">
      <c r="B55" s="11"/>
      <c r="C55" s="12"/>
      <c r="D55" s="40"/>
      <c r="E55" s="12"/>
      <c r="F55" s="12"/>
      <c r="G55" s="12"/>
      <c r="H55" s="41"/>
      <c r="I55" s="12"/>
      <c r="J55" s="40"/>
      <c r="K55" s="12"/>
      <c r="L55" s="12"/>
      <c r="M55" s="12"/>
      <c r="N55" s="12"/>
      <c r="O55" s="12"/>
      <c r="P55" s="41"/>
      <c r="Q55" s="12"/>
      <c r="R55" s="13"/>
    </row>
    <row r="56" spans="2:18" s="2" customFormat="1" ht="14.25" customHeight="1">
      <c r="B56" s="11"/>
      <c r="C56" s="12"/>
      <c r="D56" s="40"/>
      <c r="E56" s="12"/>
      <c r="F56" s="12"/>
      <c r="G56" s="12"/>
      <c r="H56" s="41"/>
      <c r="I56" s="12"/>
      <c r="J56" s="40"/>
      <c r="K56" s="12"/>
      <c r="L56" s="12"/>
      <c r="M56" s="12"/>
      <c r="N56" s="12"/>
      <c r="O56" s="12"/>
      <c r="P56" s="41"/>
      <c r="Q56" s="12"/>
      <c r="R56" s="13"/>
    </row>
    <row r="57" spans="2:18" s="2" customFormat="1" ht="14.25" customHeight="1">
      <c r="B57" s="11"/>
      <c r="C57" s="12"/>
      <c r="D57" s="40"/>
      <c r="E57" s="12"/>
      <c r="F57" s="12"/>
      <c r="G57" s="12"/>
      <c r="H57" s="41"/>
      <c r="I57" s="12"/>
      <c r="J57" s="40"/>
      <c r="K57" s="12"/>
      <c r="L57" s="12"/>
      <c r="M57" s="12"/>
      <c r="N57" s="12"/>
      <c r="O57" s="12"/>
      <c r="P57" s="41"/>
      <c r="Q57" s="12"/>
      <c r="R57" s="13"/>
    </row>
    <row r="58" spans="2:18" s="2" customFormat="1" ht="14.25" customHeight="1">
      <c r="B58" s="11"/>
      <c r="C58" s="12"/>
      <c r="D58" s="40"/>
      <c r="E58" s="12"/>
      <c r="F58" s="12"/>
      <c r="G58" s="12"/>
      <c r="H58" s="41"/>
      <c r="I58" s="12"/>
      <c r="J58" s="40"/>
      <c r="K58" s="12"/>
      <c r="L58" s="12"/>
      <c r="M58" s="12"/>
      <c r="N58" s="12"/>
      <c r="O58" s="12"/>
      <c r="P58" s="41"/>
      <c r="Q58" s="12"/>
      <c r="R58" s="13"/>
    </row>
    <row r="59" spans="2:18" s="7" customFormat="1" ht="15.75" customHeight="1">
      <c r="B59" s="23"/>
      <c r="C59" s="24"/>
      <c r="D59" s="42" t="s">
        <v>52</v>
      </c>
      <c r="E59" s="43"/>
      <c r="F59" s="43"/>
      <c r="G59" s="44" t="s">
        <v>53</v>
      </c>
      <c r="H59" s="45"/>
      <c r="I59" s="24"/>
      <c r="J59" s="42" t="s">
        <v>52</v>
      </c>
      <c r="K59" s="43"/>
      <c r="L59" s="43"/>
      <c r="M59" s="43"/>
      <c r="N59" s="44" t="s">
        <v>53</v>
      </c>
      <c r="O59" s="43"/>
      <c r="P59" s="45"/>
      <c r="Q59" s="24"/>
      <c r="R59" s="25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23"/>
      <c r="C61" s="24"/>
      <c r="D61" s="37" t="s">
        <v>54</v>
      </c>
      <c r="E61" s="38"/>
      <c r="F61" s="38"/>
      <c r="G61" s="38"/>
      <c r="H61" s="39"/>
      <c r="I61" s="24"/>
      <c r="J61" s="37" t="s">
        <v>55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1"/>
      <c r="C62" s="12"/>
      <c r="D62" s="40"/>
      <c r="E62" s="12"/>
      <c r="F62" s="12"/>
      <c r="G62" s="12"/>
      <c r="H62" s="41"/>
      <c r="I62" s="12"/>
      <c r="J62" s="40"/>
      <c r="K62" s="12"/>
      <c r="L62" s="12"/>
      <c r="M62" s="12"/>
      <c r="N62" s="12"/>
      <c r="O62" s="12"/>
      <c r="P62" s="41"/>
      <c r="Q62" s="12"/>
      <c r="R62" s="13"/>
    </row>
    <row r="63" spans="2:18" s="2" customFormat="1" ht="14.25" customHeight="1">
      <c r="B63" s="11"/>
      <c r="C63" s="12"/>
      <c r="D63" s="40"/>
      <c r="E63" s="12"/>
      <c r="F63" s="12"/>
      <c r="G63" s="12"/>
      <c r="H63" s="41"/>
      <c r="I63" s="12"/>
      <c r="J63" s="40"/>
      <c r="K63" s="12"/>
      <c r="L63" s="12"/>
      <c r="M63" s="12"/>
      <c r="N63" s="12"/>
      <c r="O63" s="12"/>
      <c r="P63" s="41"/>
      <c r="Q63" s="12"/>
      <c r="R63" s="13"/>
    </row>
    <row r="64" spans="2:18" s="2" customFormat="1" ht="14.25" customHeight="1">
      <c r="B64" s="11"/>
      <c r="C64" s="12"/>
      <c r="D64" s="40"/>
      <c r="E64" s="12"/>
      <c r="F64" s="12"/>
      <c r="G64" s="12"/>
      <c r="H64" s="41"/>
      <c r="I64" s="12"/>
      <c r="J64" s="40"/>
      <c r="K64" s="12"/>
      <c r="L64" s="12"/>
      <c r="M64" s="12"/>
      <c r="N64" s="12"/>
      <c r="O64" s="12"/>
      <c r="P64" s="41"/>
      <c r="Q64" s="12"/>
      <c r="R64" s="13"/>
    </row>
    <row r="65" spans="2:18" s="2" customFormat="1" ht="14.25" customHeight="1">
      <c r="B65" s="11"/>
      <c r="C65" s="12"/>
      <c r="D65" s="40"/>
      <c r="E65" s="12"/>
      <c r="F65" s="12"/>
      <c r="G65" s="12"/>
      <c r="H65" s="41"/>
      <c r="I65" s="12"/>
      <c r="J65" s="40"/>
      <c r="K65" s="12"/>
      <c r="L65" s="12"/>
      <c r="M65" s="12"/>
      <c r="N65" s="12"/>
      <c r="O65" s="12"/>
      <c r="P65" s="41"/>
      <c r="Q65" s="12"/>
      <c r="R65" s="13"/>
    </row>
    <row r="66" spans="2:18" s="2" customFormat="1" ht="14.25" customHeight="1">
      <c r="B66" s="11"/>
      <c r="C66" s="12"/>
      <c r="D66" s="40"/>
      <c r="E66" s="12"/>
      <c r="F66" s="12"/>
      <c r="G66" s="12"/>
      <c r="H66" s="41"/>
      <c r="I66" s="12"/>
      <c r="J66" s="40"/>
      <c r="K66" s="12"/>
      <c r="L66" s="12"/>
      <c r="M66" s="12"/>
      <c r="N66" s="12"/>
      <c r="O66" s="12"/>
      <c r="P66" s="41"/>
      <c r="Q66" s="12"/>
      <c r="R66" s="13"/>
    </row>
    <row r="67" spans="2:18" s="2" customFormat="1" ht="14.25" customHeight="1">
      <c r="B67" s="11"/>
      <c r="C67" s="12"/>
      <c r="D67" s="40"/>
      <c r="E67" s="12"/>
      <c r="F67" s="12"/>
      <c r="G67" s="12"/>
      <c r="H67" s="41"/>
      <c r="I67" s="12"/>
      <c r="J67" s="40"/>
      <c r="K67" s="12"/>
      <c r="L67" s="12"/>
      <c r="M67" s="12"/>
      <c r="N67" s="12"/>
      <c r="O67" s="12"/>
      <c r="P67" s="41"/>
      <c r="Q67" s="12"/>
      <c r="R67" s="13"/>
    </row>
    <row r="68" spans="2:18" s="2" customFormat="1" ht="14.25" customHeight="1">
      <c r="B68" s="11"/>
      <c r="C68" s="12"/>
      <c r="D68" s="40"/>
      <c r="E68" s="12"/>
      <c r="F68" s="12"/>
      <c r="G68" s="12"/>
      <c r="H68" s="41"/>
      <c r="I68" s="12"/>
      <c r="J68" s="40"/>
      <c r="K68" s="12"/>
      <c r="L68" s="12"/>
      <c r="M68" s="12"/>
      <c r="N68" s="12"/>
      <c r="O68" s="12"/>
      <c r="P68" s="41"/>
      <c r="Q68" s="12"/>
      <c r="R68" s="13"/>
    </row>
    <row r="69" spans="2:18" s="2" customFormat="1" ht="14.25" customHeight="1">
      <c r="B69" s="11"/>
      <c r="C69" s="12"/>
      <c r="D69" s="40"/>
      <c r="E69" s="12"/>
      <c r="F69" s="12"/>
      <c r="G69" s="12"/>
      <c r="H69" s="41"/>
      <c r="I69" s="12"/>
      <c r="J69" s="40"/>
      <c r="K69" s="12"/>
      <c r="L69" s="12"/>
      <c r="M69" s="12"/>
      <c r="N69" s="12"/>
      <c r="O69" s="12"/>
      <c r="P69" s="41"/>
      <c r="Q69" s="12"/>
      <c r="R69" s="13"/>
    </row>
    <row r="70" spans="2:18" s="7" customFormat="1" ht="15.75" customHeight="1">
      <c r="B70" s="23"/>
      <c r="C70" s="24"/>
      <c r="D70" s="42" t="s">
        <v>52</v>
      </c>
      <c r="E70" s="43"/>
      <c r="F70" s="43"/>
      <c r="G70" s="44" t="s">
        <v>53</v>
      </c>
      <c r="H70" s="45"/>
      <c r="I70" s="24"/>
      <c r="J70" s="42" t="s">
        <v>52</v>
      </c>
      <c r="K70" s="43"/>
      <c r="L70" s="43"/>
      <c r="M70" s="43"/>
      <c r="N70" s="44" t="s">
        <v>53</v>
      </c>
      <c r="O70" s="43"/>
      <c r="P70" s="45"/>
      <c r="Q70" s="24"/>
      <c r="R70" s="25"/>
    </row>
    <row r="71" spans="2:18" s="7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7" customFormat="1" ht="7.5" customHeight="1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3"/>
    </row>
    <row r="76" spans="2:21" s="7" customFormat="1" ht="37.5" customHeight="1">
      <c r="B76" s="23"/>
      <c r="C76" s="185" t="s">
        <v>110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5"/>
      <c r="T76" s="24"/>
      <c r="U76" s="24"/>
    </row>
    <row r="77" spans="2:21" s="7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7" customFormat="1" ht="15" customHeight="1">
      <c r="B78" s="23"/>
      <c r="C78" s="17" t="s">
        <v>14</v>
      </c>
      <c r="D78" s="24"/>
      <c r="E78" s="24"/>
      <c r="F78" s="229" t="str">
        <f>$F$6</f>
        <v>2013-24 - Stavební úpravy stodoly - p.č. 11/5 na sklad protipovodňových prostředků - nabídkový rozpočet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4"/>
      <c r="R78" s="25"/>
      <c r="T78" s="24"/>
      <c r="U78" s="24"/>
    </row>
    <row r="79" spans="2:21" s="7" customFormat="1" ht="15" customHeight="1">
      <c r="B79" s="23"/>
      <c r="C79" s="16" t="s">
        <v>108</v>
      </c>
      <c r="D79" s="24"/>
      <c r="E79" s="24"/>
      <c r="F79" s="186" t="str">
        <f>$F$7</f>
        <v>2013-24-1 - Stavební úpravy stodoly - nabídkový rozpočet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4"/>
      <c r="R79" s="25"/>
      <c r="T79" s="24"/>
      <c r="U79" s="24"/>
    </row>
    <row r="80" spans="2:21" s="7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7" customFormat="1" ht="18.75" customHeight="1">
      <c r="B81" s="23"/>
      <c r="C81" s="17" t="s">
        <v>17</v>
      </c>
      <c r="D81" s="24"/>
      <c r="E81" s="24"/>
      <c r="F81" s="18" t="str">
        <f>$F$9</f>
        <v>Albrechtice n. Orl.</v>
      </c>
      <c r="G81" s="24"/>
      <c r="H81" s="24"/>
      <c r="I81" s="24"/>
      <c r="J81" s="24"/>
      <c r="K81" s="17" t="s">
        <v>19</v>
      </c>
      <c r="L81" s="24"/>
      <c r="M81" s="225" t="str">
        <f>IF($O$9="","",$O$9)</f>
        <v>18.09.2013</v>
      </c>
      <c r="N81" s="170"/>
      <c r="O81" s="170"/>
      <c r="P81" s="170"/>
      <c r="Q81" s="24"/>
      <c r="R81" s="25"/>
      <c r="T81" s="24"/>
      <c r="U81" s="24"/>
    </row>
    <row r="82" spans="2:21" s="7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7" customFormat="1" ht="15.75" customHeight="1">
      <c r="B83" s="23"/>
      <c r="C83" s="17" t="s">
        <v>23</v>
      </c>
      <c r="D83" s="24"/>
      <c r="E83" s="24"/>
      <c r="F83" s="18" t="str">
        <f>$E$12</f>
        <v>Obec Albrechtice n. Orl. </v>
      </c>
      <c r="G83" s="24"/>
      <c r="H83" s="24"/>
      <c r="I83" s="24"/>
      <c r="J83" s="24"/>
      <c r="K83" s="17" t="s">
        <v>30</v>
      </c>
      <c r="L83" s="24"/>
      <c r="M83" s="187" t="str">
        <f>$E$18</f>
        <v>Jan Malina</v>
      </c>
      <c r="N83" s="170"/>
      <c r="O83" s="170"/>
      <c r="P83" s="170"/>
      <c r="Q83" s="170"/>
      <c r="R83" s="25"/>
      <c r="T83" s="24"/>
      <c r="U83" s="24"/>
    </row>
    <row r="84" spans="2:21" s="7" customFormat="1" ht="15" customHeight="1">
      <c r="B84" s="23"/>
      <c r="C84" s="17" t="s">
        <v>28</v>
      </c>
      <c r="D84" s="24"/>
      <c r="E84" s="24"/>
      <c r="F84" s="18" t="str">
        <f>IF($E$15="","",$E$15)</f>
        <v>Vyplň údaj</v>
      </c>
      <c r="G84" s="24"/>
      <c r="H84" s="24"/>
      <c r="I84" s="24"/>
      <c r="J84" s="24"/>
      <c r="K84" s="17" t="s">
        <v>34</v>
      </c>
      <c r="L84" s="24"/>
      <c r="M84" s="187" t="str">
        <f>$E$21</f>
        <v>Jaroslav Krunčík</v>
      </c>
      <c r="N84" s="170"/>
      <c r="O84" s="170"/>
      <c r="P84" s="170"/>
      <c r="Q84" s="170"/>
      <c r="R84" s="25"/>
      <c r="T84" s="24"/>
      <c r="U84" s="24"/>
    </row>
    <row r="85" spans="2:21" s="7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7" customFormat="1" ht="30" customHeight="1">
      <c r="B86" s="23"/>
      <c r="C86" s="233" t="s">
        <v>111</v>
      </c>
      <c r="D86" s="166"/>
      <c r="E86" s="166"/>
      <c r="F86" s="166"/>
      <c r="G86" s="166"/>
      <c r="H86" s="33"/>
      <c r="I86" s="33"/>
      <c r="J86" s="33"/>
      <c r="K86" s="33"/>
      <c r="L86" s="33"/>
      <c r="M86" s="33"/>
      <c r="N86" s="233" t="s">
        <v>112</v>
      </c>
      <c r="O86" s="170"/>
      <c r="P86" s="170"/>
      <c r="Q86" s="170"/>
      <c r="R86" s="25"/>
      <c r="T86" s="24"/>
      <c r="U86" s="24"/>
    </row>
    <row r="87" spans="2:21" s="7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7" customFormat="1" ht="30" customHeight="1">
      <c r="B88" s="23"/>
      <c r="C88" s="67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3">
        <f>ROUNDUP($N$137,2)</f>
        <v>0</v>
      </c>
      <c r="O88" s="170"/>
      <c r="P88" s="170"/>
      <c r="Q88" s="170"/>
      <c r="R88" s="25"/>
      <c r="T88" s="24"/>
      <c r="U88" s="24"/>
      <c r="AU88" s="7" t="s">
        <v>114</v>
      </c>
    </row>
    <row r="89" spans="2:21" s="72" customFormat="1" ht="25.5" customHeight="1">
      <c r="B89" s="104"/>
      <c r="C89" s="105"/>
      <c r="D89" s="105" t="s">
        <v>115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31">
        <f>ROUNDUP($N$138,2)</f>
        <v>0</v>
      </c>
      <c r="O89" s="232"/>
      <c r="P89" s="232"/>
      <c r="Q89" s="232"/>
      <c r="R89" s="106"/>
      <c r="T89" s="105"/>
      <c r="U89" s="105"/>
    </row>
    <row r="90" spans="2:21" s="107" customFormat="1" ht="21" customHeight="1">
      <c r="B90" s="108"/>
      <c r="C90" s="85"/>
      <c r="D90" s="85" t="s">
        <v>116</v>
      </c>
      <c r="E90" s="85"/>
      <c r="F90" s="85"/>
      <c r="G90" s="85"/>
      <c r="H90" s="85"/>
      <c r="I90" s="85"/>
      <c r="J90" s="85"/>
      <c r="K90" s="85"/>
      <c r="L90" s="85"/>
      <c r="M90" s="85"/>
      <c r="N90" s="172">
        <f>ROUNDUP($N$139,2)</f>
        <v>0</v>
      </c>
      <c r="O90" s="230"/>
      <c r="P90" s="230"/>
      <c r="Q90" s="230"/>
      <c r="R90" s="109"/>
      <c r="T90" s="85"/>
      <c r="U90" s="85"/>
    </row>
    <row r="91" spans="2:21" s="107" customFormat="1" ht="21" customHeight="1">
      <c r="B91" s="108"/>
      <c r="C91" s="85"/>
      <c r="D91" s="85" t="s">
        <v>117</v>
      </c>
      <c r="E91" s="85"/>
      <c r="F91" s="85"/>
      <c r="G91" s="85"/>
      <c r="H91" s="85"/>
      <c r="I91" s="85"/>
      <c r="J91" s="85"/>
      <c r="K91" s="85"/>
      <c r="L91" s="85"/>
      <c r="M91" s="85"/>
      <c r="N91" s="172">
        <f>ROUNDUP($N$158,2)</f>
        <v>0</v>
      </c>
      <c r="O91" s="230"/>
      <c r="P91" s="230"/>
      <c r="Q91" s="230"/>
      <c r="R91" s="109"/>
      <c r="T91" s="85"/>
      <c r="U91" s="85"/>
    </row>
    <row r="92" spans="2:21" s="107" customFormat="1" ht="21" customHeight="1">
      <c r="B92" s="108"/>
      <c r="C92" s="85"/>
      <c r="D92" s="85" t="s">
        <v>118</v>
      </c>
      <c r="E92" s="85"/>
      <c r="F92" s="85"/>
      <c r="G92" s="85"/>
      <c r="H92" s="85"/>
      <c r="I92" s="85"/>
      <c r="J92" s="85"/>
      <c r="K92" s="85"/>
      <c r="L92" s="85"/>
      <c r="M92" s="85"/>
      <c r="N92" s="172">
        <f>ROUNDUP($N$173,2)</f>
        <v>0</v>
      </c>
      <c r="O92" s="230"/>
      <c r="P92" s="230"/>
      <c r="Q92" s="230"/>
      <c r="R92" s="109"/>
      <c r="T92" s="85"/>
      <c r="U92" s="85"/>
    </row>
    <row r="93" spans="2:21" s="107" customFormat="1" ht="21" customHeight="1">
      <c r="B93" s="108"/>
      <c r="C93" s="85"/>
      <c r="D93" s="85" t="s">
        <v>119</v>
      </c>
      <c r="E93" s="85"/>
      <c r="F93" s="85"/>
      <c r="G93" s="85"/>
      <c r="H93" s="85"/>
      <c r="I93" s="85"/>
      <c r="J93" s="85"/>
      <c r="K93" s="85"/>
      <c r="L93" s="85"/>
      <c r="M93" s="85"/>
      <c r="N93" s="172">
        <f>ROUNDUP($N$205,2)</f>
        <v>0</v>
      </c>
      <c r="O93" s="230"/>
      <c r="P93" s="230"/>
      <c r="Q93" s="230"/>
      <c r="R93" s="109"/>
      <c r="T93" s="85"/>
      <c r="U93" s="85"/>
    </row>
    <row r="94" spans="2:21" s="107" customFormat="1" ht="21" customHeight="1">
      <c r="B94" s="108"/>
      <c r="C94" s="85"/>
      <c r="D94" s="85" t="s">
        <v>120</v>
      </c>
      <c r="E94" s="85"/>
      <c r="F94" s="85"/>
      <c r="G94" s="85"/>
      <c r="H94" s="85"/>
      <c r="I94" s="85"/>
      <c r="J94" s="85"/>
      <c r="K94" s="85"/>
      <c r="L94" s="85"/>
      <c r="M94" s="85"/>
      <c r="N94" s="172">
        <f>ROUNDUP($N$231,2)</f>
        <v>0</v>
      </c>
      <c r="O94" s="230"/>
      <c r="P94" s="230"/>
      <c r="Q94" s="230"/>
      <c r="R94" s="109"/>
      <c r="T94" s="85"/>
      <c r="U94" s="85"/>
    </row>
    <row r="95" spans="2:21" s="107" customFormat="1" ht="21" customHeight="1">
      <c r="B95" s="108"/>
      <c r="C95" s="85"/>
      <c r="D95" s="85" t="s">
        <v>121</v>
      </c>
      <c r="E95" s="85"/>
      <c r="F95" s="85"/>
      <c r="G95" s="85"/>
      <c r="H95" s="85"/>
      <c r="I95" s="85"/>
      <c r="J95" s="85"/>
      <c r="K95" s="85"/>
      <c r="L95" s="85"/>
      <c r="M95" s="85"/>
      <c r="N95" s="172">
        <f>ROUNDUP($N$318,2)</f>
        <v>0</v>
      </c>
      <c r="O95" s="230"/>
      <c r="P95" s="230"/>
      <c r="Q95" s="230"/>
      <c r="R95" s="109"/>
      <c r="T95" s="85"/>
      <c r="U95" s="85"/>
    </row>
    <row r="96" spans="2:21" s="107" customFormat="1" ht="15.75" customHeight="1">
      <c r="B96" s="108"/>
      <c r="C96" s="85"/>
      <c r="D96" s="85" t="s">
        <v>122</v>
      </c>
      <c r="E96" s="85"/>
      <c r="F96" s="85"/>
      <c r="G96" s="85"/>
      <c r="H96" s="85"/>
      <c r="I96" s="85"/>
      <c r="J96" s="85"/>
      <c r="K96" s="85"/>
      <c r="L96" s="85"/>
      <c r="M96" s="85"/>
      <c r="N96" s="172">
        <f>ROUNDUP($N$375,2)</f>
        <v>0</v>
      </c>
      <c r="O96" s="230"/>
      <c r="P96" s="230"/>
      <c r="Q96" s="230"/>
      <c r="R96" s="109"/>
      <c r="T96" s="85"/>
      <c r="U96" s="85"/>
    </row>
    <row r="97" spans="2:21" s="72" customFormat="1" ht="25.5" customHeight="1">
      <c r="B97" s="104"/>
      <c r="C97" s="105"/>
      <c r="D97" s="105" t="s">
        <v>123</v>
      </c>
      <c r="E97" s="105"/>
      <c r="F97" s="105"/>
      <c r="G97" s="105"/>
      <c r="H97" s="105"/>
      <c r="I97" s="105"/>
      <c r="J97" s="105"/>
      <c r="K97" s="105"/>
      <c r="L97" s="105"/>
      <c r="M97" s="105"/>
      <c r="N97" s="231">
        <f>ROUNDUP($N$382,2)</f>
        <v>0</v>
      </c>
      <c r="O97" s="232"/>
      <c r="P97" s="232"/>
      <c r="Q97" s="232"/>
      <c r="R97" s="106"/>
      <c r="T97" s="105"/>
      <c r="U97" s="105"/>
    </row>
    <row r="98" spans="2:21" s="107" customFormat="1" ht="21" customHeight="1">
      <c r="B98" s="108"/>
      <c r="C98" s="85"/>
      <c r="D98" s="85" t="s">
        <v>124</v>
      </c>
      <c r="E98" s="85"/>
      <c r="F98" s="85"/>
      <c r="G98" s="85"/>
      <c r="H98" s="85"/>
      <c r="I98" s="85"/>
      <c r="J98" s="85"/>
      <c r="K98" s="85"/>
      <c r="L98" s="85"/>
      <c r="M98" s="85"/>
      <c r="N98" s="172">
        <f>ROUNDUP($N$383,2)</f>
        <v>0</v>
      </c>
      <c r="O98" s="230"/>
      <c r="P98" s="230"/>
      <c r="Q98" s="230"/>
      <c r="R98" s="109"/>
      <c r="T98" s="85"/>
      <c r="U98" s="85"/>
    </row>
    <row r="99" spans="2:21" s="107" customFormat="1" ht="21" customHeight="1">
      <c r="B99" s="108"/>
      <c r="C99" s="85"/>
      <c r="D99" s="85" t="s">
        <v>125</v>
      </c>
      <c r="E99" s="85"/>
      <c r="F99" s="85"/>
      <c r="G99" s="85"/>
      <c r="H99" s="85"/>
      <c r="I99" s="85"/>
      <c r="J99" s="85"/>
      <c r="K99" s="85"/>
      <c r="L99" s="85"/>
      <c r="M99" s="85"/>
      <c r="N99" s="172">
        <f>ROUNDUP($N$396,2)</f>
        <v>0</v>
      </c>
      <c r="O99" s="230"/>
      <c r="P99" s="230"/>
      <c r="Q99" s="230"/>
      <c r="R99" s="109"/>
      <c r="T99" s="85"/>
      <c r="U99" s="85"/>
    </row>
    <row r="100" spans="2:21" s="107" customFormat="1" ht="21" customHeight="1">
      <c r="B100" s="108"/>
      <c r="C100" s="85"/>
      <c r="D100" s="85" t="s">
        <v>126</v>
      </c>
      <c r="E100" s="85"/>
      <c r="F100" s="85"/>
      <c r="G100" s="85"/>
      <c r="H100" s="85"/>
      <c r="I100" s="85"/>
      <c r="J100" s="85"/>
      <c r="K100" s="85"/>
      <c r="L100" s="240" t="s">
        <v>791</v>
      </c>
      <c r="M100" s="241"/>
      <c r="N100" s="172">
        <f>ROUNDUP($N$409,2)</f>
        <v>0</v>
      </c>
      <c r="O100" s="230"/>
      <c r="P100" s="230"/>
      <c r="Q100" s="230"/>
      <c r="R100" s="109"/>
      <c r="T100" s="85"/>
      <c r="U100" s="85"/>
    </row>
    <row r="101" spans="2:21" s="107" customFormat="1" ht="21" customHeight="1">
      <c r="B101" s="108"/>
      <c r="C101" s="85"/>
      <c r="D101" s="85" t="s">
        <v>127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172">
        <f>ROUNDUP($N$412,2)</f>
        <v>0</v>
      </c>
      <c r="O101" s="230"/>
      <c r="P101" s="230"/>
      <c r="Q101" s="230"/>
      <c r="R101" s="109"/>
      <c r="T101" s="85"/>
      <c r="U101" s="85"/>
    </row>
    <row r="102" spans="2:21" s="107" customFormat="1" ht="21" customHeight="1">
      <c r="B102" s="108"/>
      <c r="C102" s="85"/>
      <c r="D102" s="85" t="s">
        <v>128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172">
        <f>ROUNDUP($N$416,2)</f>
        <v>0</v>
      </c>
      <c r="O102" s="230"/>
      <c r="P102" s="230"/>
      <c r="Q102" s="230"/>
      <c r="R102" s="109"/>
      <c r="T102" s="85"/>
      <c r="U102" s="85"/>
    </row>
    <row r="103" spans="2:21" s="107" customFormat="1" ht="21" customHeight="1">
      <c r="B103" s="108"/>
      <c r="C103" s="85"/>
      <c r="D103" s="85" t="s">
        <v>129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172">
        <f>ROUNDUP($N$461,2)</f>
        <v>0</v>
      </c>
      <c r="O103" s="230"/>
      <c r="P103" s="230"/>
      <c r="Q103" s="230"/>
      <c r="R103" s="109"/>
      <c r="T103" s="85"/>
      <c r="U103" s="85"/>
    </row>
    <row r="104" spans="2:21" s="107" customFormat="1" ht="21" customHeight="1">
      <c r="B104" s="108"/>
      <c r="C104" s="85"/>
      <c r="D104" s="85" t="s">
        <v>130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172">
        <f>ROUNDUP($N$466,2)</f>
        <v>0</v>
      </c>
      <c r="O104" s="230"/>
      <c r="P104" s="230"/>
      <c r="Q104" s="230"/>
      <c r="R104" s="109"/>
      <c r="T104" s="85"/>
      <c r="U104" s="85"/>
    </row>
    <row r="105" spans="2:21" s="107" customFormat="1" ht="21" customHeight="1">
      <c r="B105" s="108"/>
      <c r="C105" s="85"/>
      <c r="D105" s="85" t="s">
        <v>131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172">
        <f>ROUNDUP($N$477,2)</f>
        <v>0</v>
      </c>
      <c r="O105" s="230"/>
      <c r="P105" s="230"/>
      <c r="Q105" s="230"/>
      <c r="R105" s="109"/>
      <c r="T105" s="85"/>
      <c r="U105" s="85"/>
    </row>
    <row r="106" spans="2:21" s="107" customFormat="1" ht="21" customHeight="1">
      <c r="B106" s="108"/>
      <c r="C106" s="85"/>
      <c r="D106" s="85" t="s">
        <v>132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172">
        <f>ROUNDUP($N$485,2)</f>
        <v>0</v>
      </c>
      <c r="O106" s="230"/>
      <c r="P106" s="230"/>
      <c r="Q106" s="230"/>
      <c r="R106" s="109"/>
      <c r="T106" s="85"/>
      <c r="U106" s="85"/>
    </row>
    <row r="107" spans="2:21" s="107" customFormat="1" ht="21" customHeight="1">
      <c r="B107" s="108"/>
      <c r="C107" s="85"/>
      <c r="D107" s="85" t="s">
        <v>133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172">
        <f>ROUNDUP($N$512,2)</f>
        <v>0</v>
      </c>
      <c r="O107" s="230"/>
      <c r="P107" s="230"/>
      <c r="Q107" s="230"/>
      <c r="R107" s="109"/>
      <c r="T107" s="85"/>
      <c r="U107" s="85"/>
    </row>
    <row r="108" spans="2:21" s="72" customFormat="1" ht="25.5" customHeight="1">
      <c r="B108" s="104"/>
      <c r="C108" s="105"/>
      <c r="D108" s="105" t="s">
        <v>134</v>
      </c>
      <c r="E108" s="105"/>
      <c r="F108" s="105"/>
      <c r="G108" s="105"/>
      <c r="H108" s="105"/>
      <c r="I108" s="105"/>
      <c r="J108" s="105"/>
      <c r="K108" s="105"/>
      <c r="L108" s="105"/>
      <c r="M108" s="105"/>
      <c r="N108" s="231">
        <f>ROUNDUP($N$515,2)</f>
        <v>0</v>
      </c>
      <c r="O108" s="232"/>
      <c r="P108" s="232"/>
      <c r="Q108" s="232"/>
      <c r="R108" s="106"/>
      <c r="T108" s="105"/>
      <c r="U108" s="105"/>
    </row>
    <row r="109" spans="2:21" s="107" customFormat="1" ht="21" customHeight="1">
      <c r="B109" s="108"/>
      <c r="C109" s="85"/>
      <c r="D109" s="85" t="s">
        <v>135</v>
      </c>
      <c r="E109" s="85"/>
      <c r="F109" s="85"/>
      <c r="G109" s="85"/>
      <c r="H109" s="85"/>
      <c r="I109" s="85"/>
      <c r="J109" s="85"/>
      <c r="K109" s="85"/>
      <c r="L109" s="240" t="s">
        <v>791</v>
      </c>
      <c r="M109" s="241"/>
      <c r="N109" s="172">
        <f>ROUNDUP($N$516,2)</f>
        <v>0</v>
      </c>
      <c r="O109" s="230"/>
      <c r="P109" s="230"/>
      <c r="Q109" s="230"/>
      <c r="R109" s="109"/>
      <c r="T109" s="85"/>
      <c r="U109" s="85"/>
    </row>
    <row r="110" spans="2:21" s="72" customFormat="1" ht="22.5" customHeight="1">
      <c r="B110" s="104"/>
      <c r="C110" s="105"/>
      <c r="D110" s="105" t="s">
        <v>136</v>
      </c>
      <c r="E110" s="105"/>
      <c r="F110" s="105"/>
      <c r="G110" s="105"/>
      <c r="H110" s="105"/>
      <c r="I110" s="105"/>
      <c r="J110" s="105"/>
      <c r="K110" s="105"/>
      <c r="L110" s="105"/>
      <c r="M110" s="105"/>
      <c r="N110" s="208">
        <f>$N$518</f>
        <v>0</v>
      </c>
      <c r="O110" s="232"/>
      <c r="P110" s="232"/>
      <c r="Q110" s="232"/>
      <c r="R110" s="106"/>
      <c r="T110" s="105"/>
      <c r="U110" s="105"/>
    </row>
    <row r="111" spans="2:21" s="7" customFormat="1" ht="22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7" customFormat="1" ht="30" customHeight="1">
      <c r="B112" s="23"/>
      <c r="C112" s="67" t="s">
        <v>137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73">
        <f>ROUNDUP($N$113+$N$114+$N$115+$N$116+$N$117+$N$118,2)</f>
        <v>0</v>
      </c>
      <c r="O112" s="170"/>
      <c r="P112" s="170"/>
      <c r="Q112" s="170"/>
      <c r="R112" s="25"/>
      <c r="T112" s="110"/>
      <c r="U112" s="111" t="s">
        <v>40</v>
      </c>
    </row>
    <row r="113" spans="2:62" s="7" customFormat="1" ht="18.75" customHeight="1">
      <c r="B113" s="23"/>
      <c r="C113" s="24"/>
      <c r="D113" s="169" t="s">
        <v>138</v>
      </c>
      <c r="E113" s="170"/>
      <c r="F113" s="170"/>
      <c r="G113" s="170"/>
      <c r="H113" s="170"/>
      <c r="I113" s="24"/>
      <c r="J113" s="24"/>
      <c r="K113" s="24"/>
      <c r="L113" s="24"/>
      <c r="M113" s="24"/>
      <c r="N113" s="171">
        <f>ROUNDUP($N$88*$T$113,2)</f>
        <v>0</v>
      </c>
      <c r="O113" s="170"/>
      <c r="P113" s="170"/>
      <c r="Q113" s="170"/>
      <c r="R113" s="25"/>
      <c r="T113" s="112"/>
      <c r="U113" s="113" t="s">
        <v>41</v>
      </c>
      <c r="AY113" s="7" t="s">
        <v>139</v>
      </c>
      <c r="BE113" s="89">
        <f>IF($U$113="základní",$N$113,0)</f>
        <v>0</v>
      </c>
      <c r="BF113" s="89">
        <f>IF($U$113="snížená",$N$113,0)</f>
        <v>0</v>
      </c>
      <c r="BG113" s="89">
        <f>IF($U$113="zákl. přenesená",$N$113,0)</f>
        <v>0</v>
      </c>
      <c r="BH113" s="89">
        <f>IF($U$113="sníž. přenesená",$N$113,0)</f>
        <v>0</v>
      </c>
      <c r="BI113" s="89">
        <f>IF($U$113="nulová",$N$113,0)</f>
        <v>0</v>
      </c>
      <c r="BJ113" s="7" t="s">
        <v>16</v>
      </c>
    </row>
    <row r="114" spans="2:62" s="7" customFormat="1" ht="18.75" customHeight="1">
      <c r="B114" s="23"/>
      <c r="C114" s="24"/>
      <c r="D114" s="169" t="s">
        <v>140</v>
      </c>
      <c r="E114" s="170"/>
      <c r="F114" s="170"/>
      <c r="G114" s="170"/>
      <c r="H114" s="170"/>
      <c r="I114" s="24"/>
      <c r="J114" s="24"/>
      <c r="K114" s="24"/>
      <c r="L114" s="24"/>
      <c r="M114" s="24"/>
      <c r="N114" s="171">
        <f>ROUNDUP($N$88*$T$114,2)</f>
        <v>0</v>
      </c>
      <c r="O114" s="170"/>
      <c r="P114" s="170"/>
      <c r="Q114" s="170"/>
      <c r="R114" s="25"/>
      <c r="T114" s="112"/>
      <c r="U114" s="113" t="s">
        <v>41</v>
      </c>
      <c r="AY114" s="7" t="s">
        <v>139</v>
      </c>
      <c r="BE114" s="89">
        <f>IF($U$114="základní",$N$114,0)</f>
        <v>0</v>
      </c>
      <c r="BF114" s="89">
        <f>IF($U$114="snížená",$N$114,0)</f>
        <v>0</v>
      </c>
      <c r="BG114" s="89">
        <f>IF($U$114="zákl. přenesená",$N$114,0)</f>
        <v>0</v>
      </c>
      <c r="BH114" s="89">
        <f>IF($U$114="sníž. přenesená",$N$114,0)</f>
        <v>0</v>
      </c>
      <c r="BI114" s="89">
        <f>IF($U$114="nulová",$N$114,0)</f>
        <v>0</v>
      </c>
      <c r="BJ114" s="7" t="s">
        <v>16</v>
      </c>
    </row>
    <row r="115" spans="2:62" s="7" customFormat="1" ht="18.75" customHeight="1">
      <c r="B115" s="23"/>
      <c r="C115" s="24"/>
      <c r="D115" s="169" t="s">
        <v>141</v>
      </c>
      <c r="E115" s="170"/>
      <c r="F115" s="170"/>
      <c r="G115" s="170"/>
      <c r="H115" s="170"/>
      <c r="I115" s="24"/>
      <c r="J115" s="24"/>
      <c r="K115" s="24"/>
      <c r="L115" s="24"/>
      <c r="M115" s="24"/>
      <c r="N115" s="171">
        <f>ROUNDUP($N$88*$T$115,2)</f>
        <v>0</v>
      </c>
      <c r="O115" s="170"/>
      <c r="P115" s="170"/>
      <c r="Q115" s="170"/>
      <c r="R115" s="25"/>
      <c r="T115" s="112"/>
      <c r="U115" s="113" t="s">
        <v>41</v>
      </c>
      <c r="AY115" s="7" t="s">
        <v>139</v>
      </c>
      <c r="BE115" s="89">
        <f>IF($U$115="základní",$N$115,0)</f>
        <v>0</v>
      </c>
      <c r="BF115" s="89">
        <f>IF($U$115="snížená",$N$115,0)</f>
        <v>0</v>
      </c>
      <c r="BG115" s="89">
        <f>IF($U$115="zákl. přenesená",$N$115,0)</f>
        <v>0</v>
      </c>
      <c r="BH115" s="89">
        <f>IF($U$115="sníž. přenesená",$N$115,0)</f>
        <v>0</v>
      </c>
      <c r="BI115" s="89">
        <f>IF($U$115="nulová",$N$115,0)</f>
        <v>0</v>
      </c>
      <c r="BJ115" s="7" t="s">
        <v>16</v>
      </c>
    </row>
    <row r="116" spans="2:62" s="7" customFormat="1" ht="18.75" customHeight="1">
      <c r="B116" s="23"/>
      <c r="C116" s="24"/>
      <c r="D116" s="169" t="s">
        <v>142</v>
      </c>
      <c r="E116" s="170"/>
      <c r="F116" s="170"/>
      <c r="G116" s="170"/>
      <c r="H116" s="170"/>
      <c r="I116" s="24"/>
      <c r="J116" s="24"/>
      <c r="K116" s="24"/>
      <c r="L116" s="24"/>
      <c r="M116" s="24"/>
      <c r="N116" s="171">
        <f>ROUNDUP($N$88*$T$116,2)</f>
        <v>0</v>
      </c>
      <c r="O116" s="170"/>
      <c r="P116" s="170"/>
      <c r="Q116" s="170"/>
      <c r="R116" s="25"/>
      <c r="T116" s="112"/>
      <c r="U116" s="113" t="s">
        <v>41</v>
      </c>
      <c r="AY116" s="7" t="s">
        <v>139</v>
      </c>
      <c r="BE116" s="89">
        <f>IF($U$116="základní",$N$116,0)</f>
        <v>0</v>
      </c>
      <c r="BF116" s="89">
        <f>IF($U$116="snížená",$N$116,0)</f>
        <v>0</v>
      </c>
      <c r="BG116" s="89">
        <f>IF($U$116="zákl. přenesená",$N$116,0)</f>
        <v>0</v>
      </c>
      <c r="BH116" s="89">
        <f>IF($U$116="sníž. přenesená",$N$116,0)</f>
        <v>0</v>
      </c>
      <c r="BI116" s="89">
        <f>IF($U$116="nulová",$N$116,0)</f>
        <v>0</v>
      </c>
      <c r="BJ116" s="7" t="s">
        <v>16</v>
      </c>
    </row>
    <row r="117" spans="2:62" s="7" customFormat="1" ht="18.75" customHeight="1">
      <c r="B117" s="23"/>
      <c r="C117" s="24"/>
      <c r="D117" s="169" t="s">
        <v>143</v>
      </c>
      <c r="E117" s="170"/>
      <c r="F117" s="170"/>
      <c r="G117" s="170"/>
      <c r="H117" s="170"/>
      <c r="I117" s="24"/>
      <c r="J117" s="24"/>
      <c r="K117" s="24"/>
      <c r="L117" s="24"/>
      <c r="M117" s="24"/>
      <c r="N117" s="171">
        <f>ROUNDUP($N$88*$T$117,2)</f>
        <v>0</v>
      </c>
      <c r="O117" s="170"/>
      <c r="P117" s="170"/>
      <c r="Q117" s="170"/>
      <c r="R117" s="25"/>
      <c r="T117" s="112"/>
      <c r="U117" s="113" t="s">
        <v>41</v>
      </c>
      <c r="AY117" s="7" t="s">
        <v>139</v>
      </c>
      <c r="BE117" s="89">
        <f>IF($U$117="základní",$N$117,0)</f>
        <v>0</v>
      </c>
      <c r="BF117" s="89">
        <f>IF($U$117="snížená",$N$117,0)</f>
        <v>0</v>
      </c>
      <c r="BG117" s="89">
        <f>IF($U$117="zákl. přenesená",$N$117,0)</f>
        <v>0</v>
      </c>
      <c r="BH117" s="89">
        <f>IF($U$117="sníž. přenesená",$N$117,0)</f>
        <v>0</v>
      </c>
      <c r="BI117" s="89">
        <f>IF($U$117="nulová",$N$117,0)</f>
        <v>0</v>
      </c>
      <c r="BJ117" s="7" t="s">
        <v>16</v>
      </c>
    </row>
    <row r="118" spans="2:62" s="7" customFormat="1" ht="18.75" customHeight="1">
      <c r="B118" s="23"/>
      <c r="C118" s="24"/>
      <c r="D118" s="85" t="s">
        <v>144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171">
        <f>ROUNDUP($N$88*$T$118,2)</f>
        <v>0</v>
      </c>
      <c r="O118" s="170"/>
      <c r="P118" s="170"/>
      <c r="Q118" s="170"/>
      <c r="R118" s="25"/>
      <c r="T118" s="114"/>
      <c r="U118" s="115" t="s">
        <v>41</v>
      </c>
      <c r="AY118" s="7" t="s">
        <v>145</v>
      </c>
      <c r="BE118" s="89">
        <f>IF($U$118="základní",$N$118,0)</f>
        <v>0</v>
      </c>
      <c r="BF118" s="89">
        <f>IF($U$118="snížená",$N$118,0)</f>
        <v>0</v>
      </c>
      <c r="BG118" s="89">
        <f>IF($U$118="zákl. přenesená",$N$118,0)</f>
        <v>0</v>
      </c>
      <c r="BH118" s="89">
        <f>IF($U$118="sníž. přenesená",$N$118,0)</f>
        <v>0</v>
      </c>
      <c r="BI118" s="89">
        <f>IF($U$118="nulová",$N$118,0)</f>
        <v>0</v>
      </c>
      <c r="BJ118" s="7" t="s">
        <v>16</v>
      </c>
    </row>
    <row r="119" spans="2:21" s="7" customFormat="1" ht="14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T119" s="24"/>
      <c r="U119" s="24"/>
    </row>
    <row r="120" spans="2:21" s="7" customFormat="1" ht="30" customHeight="1">
      <c r="B120" s="23"/>
      <c r="C120" s="96" t="s">
        <v>104</v>
      </c>
      <c r="D120" s="33"/>
      <c r="E120" s="33"/>
      <c r="F120" s="33"/>
      <c r="G120" s="33"/>
      <c r="H120" s="33"/>
      <c r="I120" s="33"/>
      <c r="J120" s="33"/>
      <c r="K120" s="33"/>
      <c r="L120" s="165">
        <f>ROUNDUP(SUM($N$88+$N$112),2)</f>
        <v>0</v>
      </c>
      <c r="M120" s="166"/>
      <c r="N120" s="166"/>
      <c r="O120" s="166"/>
      <c r="P120" s="166"/>
      <c r="Q120" s="166"/>
      <c r="R120" s="25"/>
      <c r="T120" s="24"/>
      <c r="U120" s="24"/>
    </row>
    <row r="121" spans="2:21" s="7" customFormat="1" ht="7.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  <c r="T121" s="24"/>
      <c r="U121" s="24"/>
    </row>
    <row r="125" spans="2:18" s="7" customFormat="1" ht="7.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7" customFormat="1" ht="37.5" customHeight="1">
      <c r="B126" s="23"/>
      <c r="C126" s="185" t="s">
        <v>146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25"/>
    </row>
    <row r="127" spans="2:18" s="7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7" customFormat="1" ht="15" customHeight="1">
      <c r="B128" s="23"/>
      <c r="C128" s="17" t="s">
        <v>14</v>
      </c>
      <c r="D128" s="24"/>
      <c r="E128" s="24"/>
      <c r="F128" s="229" t="str">
        <f>$F$6</f>
        <v>2013-24 - Stavební úpravy stodoly - p.č. 11/5 na sklad protipovodňových prostředků - nabídkový rozpočet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24"/>
      <c r="R128" s="25"/>
    </row>
    <row r="129" spans="2:18" s="7" customFormat="1" ht="15" customHeight="1">
      <c r="B129" s="23"/>
      <c r="C129" s="16" t="s">
        <v>108</v>
      </c>
      <c r="D129" s="24"/>
      <c r="E129" s="24"/>
      <c r="F129" s="186" t="str">
        <f>$F$7</f>
        <v>2013-24-1 - Stavební úpravy stodoly - nabídkový rozpočet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24"/>
      <c r="R129" s="25"/>
    </row>
    <row r="130" spans="2:18" s="7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7" customFormat="1" ht="18.75" customHeight="1">
      <c r="B131" s="23"/>
      <c r="C131" s="17" t="s">
        <v>17</v>
      </c>
      <c r="D131" s="24"/>
      <c r="E131" s="24"/>
      <c r="F131" s="18" t="str">
        <f>$F$9</f>
        <v>Albrechtice n. Orl.</v>
      </c>
      <c r="G131" s="24"/>
      <c r="H131" s="24"/>
      <c r="I131" s="24"/>
      <c r="J131" s="24"/>
      <c r="K131" s="17" t="s">
        <v>19</v>
      </c>
      <c r="L131" s="24"/>
      <c r="M131" s="225" t="str">
        <f>IF($O$9="","",$O$9)</f>
        <v>18.09.2013</v>
      </c>
      <c r="N131" s="170"/>
      <c r="O131" s="170"/>
      <c r="P131" s="170"/>
      <c r="Q131" s="24"/>
      <c r="R131" s="25"/>
    </row>
    <row r="132" spans="2:18" s="7" customFormat="1" ht="7.5" customHeight="1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/>
    </row>
    <row r="133" spans="2:18" s="7" customFormat="1" ht="15.75" customHeight="1">
      <c r="B133" s="23"/>
      <c r="C133" s="17" t="s">
        <v>23</v>
      </c>
      <c r="D133" s="24"/>
      <c r="E133" s="24"/>
      <c r="F133" s="18" t="str">
        <f>$E$12</f>
        <v>Obec Albrechtice n. Orl. </v>
      </c>
      <c r="G133" s="24"/>
      <c r="H133" s="24"/>
      <c r="I133" s="24"/>
      <c r="J133" s="24"/>
      <c r="K133" s="17" t="s">
        <v>30</v>
      </c>
      <c r="L133" s="24"/>
      <c r="M133" s="187" t="str">
        <f>$E$18</f>
        <v>Jan Malina</v>
      </c>
      <c r="N133" s="170"/>
      <c r="O133" s="170"/>
      <c r="P133" s="170"/>
      <c r="Q133" s="170"/>
      <c r="R133" s="25"/>
    </row>
    <row r="134" spans="2:18" s="7" customFormat="1" ht="15" customHeight="1">
      <c r="B134" s="23"/>
      <c r="C134" s="17" t="s">
        <v>28</v>
      </c>
      <c r="D134" s="24"/>
      <c r="E134" s="24"/>
      <c r="F134" s="18" t="str">
        <f>IF($E$15="","",$E$15)</f>
        <v>Vyplň údaj</v>
      </c>
      <c r="G134" s="24"/>
      <c r="H134" s="24"/>
      <c r="I134" s="24"/>
      <c r="J134" s="24"/>
      <c r="K134" s="17" t="s">
        <v>34</v>
      </c>
      <c r="L134" s="24"/>
      <c r="M134" s="187" t="str">
        <f>$E$21</f>
        <v>Jaroslav Krunčík</v>
      </c>
      <c r="N134" s="170"/>
      <c r="O134" s="170"/>
      <c r="P134" s="170"/>
      <c r="Q134" s="170"/>
      <c r="R134" s="25"/>
    </row>
    <row r="135" spans="2:18" s="7" customFormat="1" ht="11.25" customHeight="1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5"/>
    </row>
    <row r="136" spans="2:27" s="116" customFormat="1" ht="30" customHeight="1">
      <c r="B136" s="117"/>
      <c r="C136" s="118" t="s">
        <v>147</v>
      </c>
      <c r="D136" s="119" t="s">
        <v>148</v>
      </c>
      <c r="E136" s="119" t="s">
        <v>58</v>
      </c>
      <c r="F136" s="226" t="s">
        <v>149</v>
      </c>
      <c r="G136" s="227"/>
      <c r="H136" s="227"/>
      <c r="I136" s="227"/>
      <c r="J136" s="119" t="s">
        <v>150</v>
      </c>
      <c r="K136" s="119" t="s">
        <v>151</v>
      </c>
      <c r="L136" s="226" t="s">
        <v>152</v>
      </c>
      <c r="M136" s="227"/>
      <c r="N136" s="226" t="s">
        <v>153</v>
      </c>
      <c r="O136" s="227"/>
      <c r="P136" s="227"/>
      <c r="Q136" s="228"/>
      <c r="R136" s="120"/>
      <c r="T136" s="62" t="s">
        <v>154</v>
      </c>
      <c r="U136" s="63" t="s">
        <v>40</v>
      </c>
      <c r="V136" s="63" t="s">
        <v>155</v>
      </c>
      <c r="W136" s="63" t="s">
        <v>156</v>
      </c>
      <c r="X136" s="63" t="s">
        <v>157</v>
      </c>
      <c r="Y136" s="63" t="s">
        <v>158</v>
      </c>
      <c r="Z136" s="63" t="s">
        <v>159</v>
      </c>
      <c r="AA136" s="64" t="s">
        <v>160</v>
      </c>
    </row>
    <row r="137" spans="2:63" s="7" customFormat="1" ht="30" customHeight="1">
      <c r="B137" s="23"/>
      <c r="C137" s="67" t="s">
        <v>109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09">
        <f>$BK$137</f>
        <v>0</v>
      </c>
      <c r="O137" s="170"/>
      <c r="P137" s="170"/>
      <c r="Q137" s="170"/>
      <c r="R137" s="25"/>
      <c r="T137" s="66"/>
      <c r="U137" s="38"/>
      <c r="V137" s="38"/>
      <c r="W137" s="121">
        <f>$W$138+$W$382+$W$515+$W$518</f>
        <v>1999.4121669999997</v>
      </c>
      <c r="X137" s="38"/>
      <c r="Y137" s="121">
        <f>$Y$138+$Y$382+$Y$515+$Y$518</f>
        <v>147.16250416</v>
      </c>
      <c r="Z137" s="38"/>
      <c r="AA137" s="122">
        <f>$AA$138+$AA$382+$AA$515+$AA$518</f>
        <v>48.38691800000001</v>
      </c>
      <c r="AT137" s="7" t="s">
        <v>75</v>
      </c>
      <c r="AU137" s="7" t="s">
        <v>114</v>
      </c>
      <c r="BK137" s="123">
        <f>$BK$138+$BK$382+$BK$515+$BK$518</f>
        <v>0</v>
      </c>
    </row>
    <row r="138" spans="2:63" s="124" customFormat="1" ht="37.5" customHeight="1">
      <c r="B138" s="125"/>
      <c r="C138" s="126"/>
      <c r="D138" s="127" t="s">
        <v>115</v>
      </c>
      <c r="E138" s="126"/>
      <c r="F138" s="126"/>
      <c r="G138" s="126"/>
      <c r="H138" s="126"/>
      <c r="I138" s="126"/>
      <c r="J138" s="126"/>
      <c r="K138" s="126"/>
      <c r="L138" s="126"/>
      <c r="M138" s="126"/>
      <c r="N138" s="208">
        <f>$BK$138</f>
        <v>0</v>
      </c>
      <c r="O138" s="207"/>
      <c r="P138" s="207"/>
      <c r="Q138" s="207"/>
      <c r="R138" s="128"/>
      <c r="T138" s="129"/>
      <c r="U138" s="126"/>
      <c r="V138" s="126"/>
      <c r="W138" s="130">
        <f>$W$139+$W$158+$W$173+$W$205+$W$231+$W$318</f>
        <v>1399.3500639999997</v>
      </c>
      <c r="X138" s="126"/>
      <c r="Y138" s="130">
        <f>$Y$139+$Y$158+$Y$173+$Y$205+$Y$231+$Y$318</f>
        <v>135.79195669</v>
      </c>
      <c r="Z138" s="126"/>
      <c r="AA138" s="131">
        <f>$AA$139+$AA$158+$AA$173+$AA$205+$AA$231+$AA$318</f>
        <v>41.703618000000006</v>
      </c>
      <c r="AR138" s="132" t="s">
        <v>16</v>
      </c>
      <c r="AT138" s="132" t="s">
        <v>75</v>
      </c>
      <c r="AU138" s="132" t="s">
        <v>76</v>
      </c>
      <c r="AY138" s="132" t="s">
        <v>161</v>
      </c>
      <c r="BK138" s="133">
        <f>$BK$139+$BK$158+$BK$173+$BK$205+$BK$231+$BK$318</f>
        <v>0</v>
      </c>
    </row>
    <row r="139" spans="2:63" s="124" customFormat="1" ht="21" customHeight="1">
      <c r="B139" s="125"/>
      <c r="C139" s="126"/>
      <c r="D139" s="134" t="s">
        <v>116</v>
      </c>
      <c r="E139" s="126"/>
      <c r="F139" s="126"/>
      <c r="G139" s="126"/>
      <c r="H139" s="126"/>
      <c r="I139" s="126"/>
      <c r="J139" s="126"/>
      <c r="K139" s="126"/>
      <c r="L139" s="126"/>
      <c r="M139" s="126"/>
      <c r="N139" s="206">
        <f>$BK$139</f>
        <v>0</v>
      </c>
      <c r="O139" s="207"/>
      <c r="P139" s="207"/>
      <c r="Q139" s="207"/>
      <c r="R139" s="128"/>
      <c r="T139" s="129"/>
      <c r="U139" s="126"/>
      <c r="V139" s="126"/>
      <c r="W139" s="130">
        <f>SUM($W$140:$W$157)</f>
        <v>29.249431</v>
      </c>
      <c r="X139" s="126"/>
      <c r="Y139" s="130">
        <f>SUM($Y$140:$Y$157)</f>
        <v>11.194</v>
      </c>
      <c r="Z139" s="126"/>
      <c r="AA139" s="131">
        <f>SUM($AA$140:$AA$157)</f>
        <v>0</v>
      </c>
      <c r="AR139" s="132" t="s">
        <v>16</v>
      </c>
      <c r="AT139" s="132" t="s">
        <v>75</v>
      </c>
      <c r="AU139" s="132" t="s">
        <v>16</v>
      </c>
      <c r="AY139" s="132" t="s">
        <v>161</v>
      </c>
      <c r="BK139" s="133">
        <f>SUM($BK$140:$BK$157)</f>
        <v>0</v>
      </c>
    </row>
    <row r="140" spans="2:64" s="7" customFormat="1" ht="27" customHeight="1">
      <c r="B140" s="23"/>
      <c r="C140" s="135" t="s">
        <v>162</v>
      </c>
      <c r="D140" s="135" t="s">
        <v>163</v>
      </c>
      <c r="E140" s="136" t="s">
        <v>164</v>
      </c>
      <c r="F140" s="217" t="s">
        <v>165</v>
      </c>
      <c r="G140" s="213"/>
      <c r="H140" s="213"/>
      <c r="I140" s="213"/>
      <c r="J140" s="137" t="s">
        <v>166</v>
      </c>
      <c r="K140" s="138">
        <v>0.576</v>
      </c>
      <c r="L140" s="212">
        <v>0</v>
      </c>
      <c r="M140" s="213"/>
      <c r="N140" s="214">
        <f>ROUND($L$140*$K$140,2)</f>
        <v>0</v>
      </c>
      <c r="O140" s="213"/>
      <c r="P140" s="213"/>
      <c r="Q140" s="213"/>
      <c r="R140" s="25"/>
      <c r="T140" s="139"/>
      <c r="U140" s="31" t="s">
        <v>41</v>
      </c>
      <c r="V140" s="140">
        <v>2.948</v>
      </c>
      <c r="W140" s="140">
        <f>$V$140*$K$140</f>
        <v>1.6980479999999998</v>
      </c>
      <c r="X140" s="140">
        <v>0</v>
      </c>
      <c r="Y140" s="140">
        <f>$X$140*$K$140</f>
        <v>0</v>
      </c>
      <c r="Z140" s="140">
        <v>0</v>
      </c>
      <c r="AA140" s="141">
        <f>$Z$140*$K$140</f>
        <v>0</v>
      </c>
      <c r="AR140" s="7" t="s">
        <v>167</v>
      </c>
      <c r="AT140" s="7" t="s">
        <v>163</v>
      </c>
      <c r="AU140" s="7" t="s">
        <v>106</v>
      </c>
      <c r="AY140" s="7" t="s">
        <v>161</v>
      </c>
      <c r="BE140" s="89">
        <f>IF($U$140="základní",$N$140,0)</f>
        <v>0</v>
      </c>
      <c r="BF140" s="89">
        <f>IF($U$140="snížená",$N$140,0)</f>
        <v>0</v>
      </c>
      <c r="BG140" s="89">
        <f>IF($U$140="zákl. přenesená",$N$140,0)</f>
        <v>0</v>
      </c>
      <c r="BH140" s="89">
        <f>IF($U$140="sníž. přenesená",$N$140,0)</f>
        <v>0</v>
      </c>
      <c r="BI140" s="89">
        <f>IF($U$140="nulová",$N$140,0)</f>
        <v>0</v>
      </c>
      <c r="BJ140" s="7" t="s">
        <v>16</v>
      </c>
      <c r="BK140" s="89">
        <f>ROUND($L$140*$K$140,2)</f>
        <v>0</v>
      </c>
      <c r="BL140" s="7" t="s">
        <v>167</v>
      </c>
    </row>
    <row r="141" spans="2:51" s="7" customFormat="1" ht="15.75" customHeight="1">
      <c r="B141" s="142"/>
      <c r="C141" s="143"/>
      <c r="D141" s="143"/>
      <c r="E141" s="143"/>
      <c r="F141" s="215" t="s">
        <v>168</v>
      </c>
      <c r="G141" s="216"/>
      <c r="H141" s="216"/>
      <c r="I141" s="216"/>
      <c r="J141" s="143"/>
      <c r="K141" s="144">
        <v>0.576</v>
      </c>
      <c r="L141" s="143"/>
      <c r="M141" s="143"/>
      <c r="N141" s="143"/>
      <c r="O141" s="143"/>
      <c r="P141" s="143"/>
      <c r="Q141" s="143"/>
      <c r="R141" s="145"/>
      <c r="T141" s="146"/>
      <c r="U141" s="143"/>
      <c r="V141" s="143"/>
      <c r="W141" s="143"/>
      <c r="X141" s="143"/>
      <c r="Y141" s="143"/>
      <c r="Z141" s="143"/>
      <c r="AA141" s="147"/>
      <c r="AT141" s="148" t="s">
        <v>169</v>
      </c>
      <c r="AU141" s="148" t="s">
        <v>106</v>
      </c>
      <c r="AV141" s="148" t="s">
        <v>106</v>
      </c>
      <c r="AW141" s="148" t="s">
        <v>114</v>
      </c>
      <c r="AX141" s="148" t="s">
        <v>16</v>
      </c>
      <c r="AY141" s="148" t="s">
        <v>161</v>
      </c>
    </row>
    <row r="142" spans="2:64" s="7" customFormat="1" ht="27" customHeight="1">
      <c r="B142" s="23"/>
      <c r="C142" s="135" t="s">
        <v>170</v>
      </c>
      <c r="D142" s="135" t="s">
        <v>163</v>
      </c>
      <c r="E142" s="136" t="s">
        <v>171</v>
      </c>
      <c r="F142" s="217" t="s">
        <v>172</v>
      </c>
      <c r="G142" s="213"/>
      <c r="H142" s="213"/>
      <c r="I142" s="213"/>
      <c r="J142" s="137" t="s">
        <v>166</v>
      </c>
      <c r="K142" s="138">
        <v>0.576</v>
      </c>
      <c r="L142" s="212">
        <v>0</v>
      </c>
      <c r="M142" s="213"/>
      <c r="N142" s="214">
        <f>ROUND($L$142*$K$142,2)</f>
        <v>0</v>
      </c>
      <c r="O142" s="213"/>
      <c r="P142" s="213"/>
      <c r="Q142" s="213"/>
      <c r="R142" s="25"/>
      <c r="T142" s="139"/>
      <c r="U142" s="31" t="s">
        <v>41</v>
      </c>
      <c r="V142" s="140">
        <v>0.59</v>
      </c>
      <c r="W142" s="140">
        <f>$V$142*$K$142</f>
        <v>0.33984</v>
      </c>
      <c r="X142" s="140">
        <v>0</v>
      </c>
      <c r="Y142" s="140">
        <f>$X$142*$K$142</f>
        <v>0</v>
      </c>
      <c r="Z142" s="140">
        <v>0</v>
      </c>
      <c r="AA142" s="141">
        <f>$Z$142*$K$142</f>
        <v>0</v>
      </c>
      <c r="AR142" s="7" t="s">
        <v>167</v>
      </c>
      <c r="AT142" s="7" t="s">
        <v>163</v>
      </c>
      <c r="AU142" s="7" t="s">
        <v>106</v>
      </c>
      <c r="AY142" s="7" t="s">
        <v>161</v>
      </c>
      <c r="BE142" s="89">
        <f>IF($U$142="základní",$N$142,0)</f>
        <v>0</v>
      </c>
      <c r="BF142" s="89">
        <f>IF($U$142="snížená",$N$142,0)</f>
        <v>0</v>
      </c>
      <c r="BG142" s="89">
        <f>IF($U$142="zákl. přenesená",$N$142,0)</f>
        <v>0</v>
      </c>
      <c r="BH142" s="89">
        <f>IF($U$142="sníž. přenesená",$N$142,0)</f>
        <v>0</v>
      </c>
      <c r="BI142" s="89">
        <f>IF($U$142="nulová",$N$142,0)</f>
        <v>0</v>
      </c>
      <c r="BJ142" s="7" t="s">
        <v>16</v>
      </c>
      <c r="BK142" s="89">
        <f>ROUND($L$142*$K$142,2)</f>
        <v>0</v>
      </c>
      <c r="BL142" s="7" t="s">
        <v>167</v>
      </c>
    </row>
    <row r="143" spans="2:64" s="7" customFormat="1" ht="27" customHeight="1">
      <c r="B143" s="23"/>
      <c r="C143" s="135" t="s">
        <v>173</v>
      </c>
      <c r="D143" s="135" t="s">
        <v>163</v>
      </c>
      <c r="E143" s="136" t="s">
        <v>174</v>
      </c>
      <c r="F143" s="217" t="s">
        <v>175</v>
      </c>
      <c r="G143" s="213"/>
      <c r="H143" s="213"/>
      <c r="I143" s="213"/>
      <c r="J143" s="137" t="s">
        <v>166</v>
      </c>
      <c r="K143" s="138">
        <v>4.44</v>
      </c>
      <c r="L143" s="212">
        <v>0</v>
      </c>
      <c r="M143" s="213"/>
      <c r="N143" s="214">
        <f>ROUND($L$143*$K$143,2)</f>
        <v>0</v>
      </c>
      <c r="O143" s="213"/>
      <c r="P143" s="213"/>
      <c r="Q143" s="213"/>
      <c r="R143" s="25"/>
      <c r="T143" s="139"/>
      <c r="U143" s="31" t="s">
        <v>41</v>
      </c>
      <c r="V143" s="140">
        <v>2.32</v>
      </c>
      <c r="W143" s="140">
        <f>$V$143*$K$143</f>
        <v>10.3008</v>
      </c>
      <c r="X143" s="140">
        <v>0</v>
      </c>
      <c r="Y143" s="140">
        <f>$X$143*$K$143</f>
        <v>0</v>
      </c>
      <c r="Z143" s="140">
        <v>0</v>
      </c>
      <c r="AA143" s="141">
        <f>$Z$143*$K$143</f>
        <v>0</v>
      </c>
      <c r="AR143" s="7" t="s">
        <v>167</v>
      </c>
      <c r="AT143" s="7" t="s">
        <v>163</v>
      </c>
      <c r="AU143" s="7" t="s">
        <v>106</v>
      </c>
      <c r="AY143" s="7" t="s">
        <v>161</v>
      </c>
      <c r="BE143" s="89">
        <f>IF($U$143="základní",$N$143,0)</f>
        <v>0</v>
      </c>
      <c r="BF143" s="89">
        <f>IF($U$143="snížená",$N$143,0)</f>
        <v>0</v>
      </c>
      <c r="BG143" s="89">
        <f>IF($U$143="zákl. přenesená",$N$143,0)</f>
        <v>0</v>
      </c>
      <c r="BH143" s="89">
        <f>IF($U$143="sníž. přenesená",$N$143,0)</f>
        <v>0</v>
      </c>
      <c r="BI143" s="89">
        <f>IF($U$143="nulová",$N$143,0)</f>
        <v>0</v>
      </c>
      <c r="BJ143" s="7" t="s">
        <v>16</v>
      </c>
      <c r="BK143" s="89">
        <f>ROUND($L$143*$K$143,2)</f>
        <v>0</v>
      </c>
      <c r="BL143" s="7" t="s">
        <v>167</v>
      </c>
    </row>
    <row r="144" spans="2:51" s="7" customFormat="1" ht="15.75" customHeight="1">
      <c r="B144" s="142"/>
      <c r="C144" s="143"/>
      <c r="D144" s="143"/>
      <c r="E144" s="143"/>
      <c r="F144" s="215" t="s">
        <v>176</v>
      </c>
      <c r="G144" s="216"/>
      <c r="H144" s="216"/>
      <c r="I144" s="216"/>
      <c r="J144" s="143"/>
      <c r="K144" s="144">
        <v>2.912</v>
      </c>
      <c r="L144" s="143"/>
      <c r="M144" s="143"/>
      <c r="N144" s="143"/>
      <c r="O144" s="143"/>
      <c r="P144" s="143"/>
      <c r="Q144" s="143"/>
      <c r="R144" s="145"/>
      <c r="T144" s="146"/>
      <c r="U144" s="143"/>
      <c r="V144" s="143"/>
      <c r="W144" s="143"/>
      <c r="X144" s="143"/>
      <c r="Y144" s="143"/>
      <c r="Z144" s="143"/>
      <c r="AA144" s="147"/>
      <c r="AT144" s="148" t="s">
        <v>169</v>
      </c>
      <c r="AU144" s="148" t="s">
        <v>106</v>
      </c>
      <c r="AV144" s="148" t="s">
        <v>106</v>
      </c>
      <c r="AW144" s="148" t="s">
        <v>114</v>
      </c>
      <c r="AX144" s="148" t="s">
        <v>76</v>
      </c>
      <c r="AY144" s="148" t="s">
        <v>161</v>
      </c>
    </row>
    <row r="145" spans="2:51" s="7" customFormat="1" ht="15.75" customHeight="1">
      <c r="B145" s="142"/>
      <c r="C145" s="143"/>
      <c r="D145" s="143"/>
      <c r="E145" s="143"/>
      <c r="F145" s="215" t="s">
        <v>177</v>
      </c>
      <c r="G145" s="216"/>
      <c r="H145" s="216"/>
      <c r="I145" s="216"/>
      <c r="J145" s="143"/>
      <c r="K145" s="144">
        <v>1.528</v>
      </c>
      <c r="L145" s="143"/>
      <c r="M145" s="143"/>
      <c r="N145" s="143"/>
      <c r="O145" s="143"/>
      <c r="P145" s="143"/>
      <c r="Q145" s="143"/>
      <c r="R145" s="145"/>
      <c r="T145" s="146"/>
      <c r="U145" s="143"/>
      <c r="V145" s="143"/>
      <c r="W145" s="143"/>
      <c r="X145" s="143"/>
      <c r="Y145" s="143"/>
      <c r="Z145" s="143"/>
      <c r="AA145" s="147"/>
      <c r="AT145" s="148" t="s">
        <v>169</v>
      </c>
      <c r="AU145" s="148" t="s">
        <v>106</v>
      </c>
      <c r="AV145" s="148" t="s">
        <v>106</v>
      </c>
      <c r="AW145" s="148" t="s">
        <v>114</v>
      </c>
      <c r="AX145" s="148" t="s">
        <v>76</v>
      </c>
      <c r="AY145" s="148" t="s">
        <v>161</v>
      </c>
    </row>
    <row r="146" spans="2:51" s="7" customFormat="1" ht="15.75" customHeight="1">
      <c r="B146" s="149"/>
      <c r="C146" s="150"/>
      <c r="D146" s="150"/>
      <c r="E146" s="150"/>
      <c r="F146" s="223" t="s">
        <v>178</v>
      </c>
      <c r="G146" s="224"/>
      <c r="H146" s="224"/>
      <c r="I146" s="224"/>
      <c r="J146" s="150"/>
      <c r="K146" s="151">
        <v>4.44</v>
      </c>
      <c r="L146" s="150"/>
      <c r="M146" s="150"/>
      <c r="N146" s="150"/>
      <c r="O146" s="150"/>
      <c r="P146" s="150"/>
      <c r="Q146" s="150"/>
      <c r="R146" s="152"/>
      <c r="T146" s="153"/>
      <c r="U146" s="150"/>
      <c r="V146" s="150"/>
      <c r="W146" s="150"/>
      <c r="X146" s="150"/>
      <c r="Y146" s="150"/>
      <c r="Z146" s="150"/>
      <c r="AA146" s="154"/>
      <c r="AT146" s="155" t="s">
        <v>169</v>
      </c>
      <c r="AU146" s="155" t="s">
        <v>106</v>
      </c>
      <c r="AV146" s="155" t="s">
        <v>167</v>
      </c>
      <c r="AW146" s="155" t="s">
        <v>114</v>
      </c>
      <c r="AX146" s="155" t="s">
        <v>16</v>
      </c>
      <c r="AY146" s="155" t="s">
        <v>161</v>
      </c>
    </row>
    <row r="147" spans="2:64" s="7" customFormat="1" ht="27" customHeight="1">
      <c r="B147" s="23"/>
      <c r="C147" s="135" t="s">
        <v>179</v>
      </c>
      <c r="D147" s="135" t="s">
        <v>163</v>
      </c>
      <c r="E147" s="136" t="s">
        <v>180</v>
      </c>
      <c r="F147" s="217" t="s">
        <v>181</v>
      </c>
      <c r="G147" s="213"/>
      <c r="H147" s="213"/>
      <c r="I147" s="213"/>
      <c r="J147" s="137" t="s">
        <v>166</v>
      </c>
      <c r="K147" s="138">
        <v>4.44</v>
      </c>
      <c r="L147" s="212">
        <v>0</v>
      </c>
      <c r="M147" s="213"/>
      <c r="N147" s="214">
        <f>ROUND($L$147*$K$147,2)</f>
        <v>0</v>
      </c>
      <c r="O147" s="213"/>
      <c r="P147" s="213"/>
      <c r="Q147" s="213"/>
      <c r="R147" s="25"/>
      <c r="T147" s="139"/>
      <c r="U147" s="31" t="s">
        <v>41</v>
      </c>
      <c r="V147" s="140">
        <v>0.654</v>
      </c>
      <c r="W147" s="140">
        <f>$V$147*$K$147</f>
        <v>2.9037600000000006</v>
      </c>
      <c r="X147" s="140">
        <v>0</v>
      </c>
      <c r="Y147" s="140">
        <f>$X$147*$K$147</f>
        <v>0</v>
      </c>
      <c r="Z147" s="140">
        <v>0</v>
      </c>
      <c r="AA147" s="141">
        <f>$Z$147*$K$147</f>
        <v>0</v>
      </c>
      <c r="AR147" s="7" t="s">
        <v>167</v>
      </c>
      <c r="AT147" s="7" t="s">
        <v>163</v>
      </c>
      <c r="AU147" s="7" t="s">
        <v>106</v>
      </c>
      <c r="AY147" s="7" t="s">
        <v>161</v>
      </c>
      <c r="BE147" s="89">
        <f>IF($U$147="základní",$N$147,0)</f>
        <v>0</v>
      </c>
      <c r="BF147" s="89">
        <f>IF($U$147="snížená",$N$147,0)</f>
        <v>0</v>
      </c>
      <c r="BG147" s="89">
        <f>IF($U$147="zákl. přenesená",$N$147,0)</f>
        <v>0</v>
      </c>
      <c r="BH147" s="89">
        <f>IF($U$147="sníž. přenesená",$N$147,0)</f>
        <v>0</v>
      </c>
      <c r="BI147" s="89">
        <f>IF($U$147="nulová",$N$147,0)</f>
        <v>0</v>
      </c>
      <c r="BJ147" s="7" t="s">
        <v>16</v>
      </c>
      <c r="BK147" s="89">
        <f>ROUND($L$147*$K$147,2)</f>
        <v>0</v>
      </c>
      <c r="BL147" s="7" t="s">
        <v>167</v>
      </c>
    </row>
    <row r="148" spans="2:64" s="7" customFormat="1" ht="27" customHeight="1">
      <c r="B148" s="23"/>
      <c r="C148" s="135" t="s">
        <v>182</v>
      </c>
      <c r="D148" s="135" t="s">
        <v>163</v>
      </c>
      <c r="E148" s="136" t="s">
        <v>183</v>
      </c>
      <c r="F148" s="217" t="s">
        <v>184</v>
      </c>
      <c r="G148" s="213"/>
      <c r="H148" s="213"/>
      <c r="I148" s="213"/>
      <c r="J148" s="137" t="s">
        <v>166</v>
      </c>
      <c r="K148" s="138">
        <v>5.018</v>
      </c>
      <c r="L148" s="212">
        <v>0</v>
      </c>
      <c r="M148" s="213"/>
      <c r="N148" s="214">
        <f>ROUND($L$148*$K$148,2)</f>
        <v>0</v>
      </c>
      <c r="O148" s="213"/>
      <c r="P148" s="213"/>
      <c r="Q148" s="213"/>
      <c r="R148" s="25"/>
      <c r="T148" s="139"/>
      <c r="U148" s="31" t="s">
        <v>41</v>
      </c>
      <c r="V148" s="140">
        <v>0.062</v>
      </c>
      <c r="W148" s="140">
        <f>$V$148*$K$148</f>
        <v>0.311116</v>
      </c>
      <c r="X148" s="140">
        <v>0</v>
      </c>
      <c r="Y148" s="140">
        <f>$X$148*$K$148</f>
        <v>0</v>
      </c>
      <c r="Z148" s="140">
        <v>0</v>
      </c>
      <c r="AA148" s="141">
        <f>$Z$148*$K$148</f>
        <v>0</v>
      </c>
      <c r="AR148" s="7" t="s">
        <v>167</v>
      </c>
      <c r="AT148" s="7" t="s">
        <v>163</v>
      </c>
      <c r="AU148" s="7" t="s">
        <v>106</v>
      </c>
      <c r="AY148" s="7" t="s">
        <v>161</v>
      </c>
      <c r="BE148" s="89">
        <f>IF($U$148="základní",$N$148,0)</f>
        <v>0</v>
      </c>
      <c r="BF148" s="89">
        <f>IF($U$148="snížená",$N$148,0)</f>
        <v>0</v>
      </c>
      <c r="BG148" s="89">
        <f>IF($U$148="zákl. přenesená",$N$148,0)</f>
        <v>0</v>
      </c>
      <c r="BH148" s="89">
        <f>IF($U$148="sníž. přenesená",$N$148,0)</f>
        <v>0</v>
      </c>
      <c r="BI148" s="89">
        <f>IF($U$148="nulová",$N$148,0)</f>
        <v>0</v>
      </c>
      <c r="BJ148" s="7" t="s">
        <v>16</v>
      </c>
      <c r="BK148" s="89">
        <f>ROUND($L$148*$K$148,2)</f>
        <v>0</v>
      </c>
      <c r="BL148" s="7" t="s">
        <v>167</v>
      </c>
    </row>
    <row r="149" spans="2:51" s="7" customFormat="1" ht="15.75" customHeight="1">
      <c r="B149" s="142"/>
      <c r="C149" s="143"/>
      <c r="D149" s="143"/>
      <c r="E149" s="143"/>
      <c r="F149" s="215" t="s">
        <v>185</v>
      </c>
      <c r="G149" s="216"/>
      <c r="H149" s="216"/>
      <c r="I149" s="216"/>
      <c r="J149" s="143"/>
      <c r="K149" s="144">
        <v>5.018</v>
      </c>
      <c r="L149" s="143"/>
      <c r="M149" s="143"/>
      <c r="N149" s="143"/>
      <c r="O149" s="143"/>
      <c r="P149" s="143"/>
      <c r="Q149" s="143"/>
      <c r="R149" s="145"/>
      <c r="T149" s="146"/>
      <c r="U149" s="143"/>
      <c r="V149" s="143"/>
      <c r="W149" s="143"/>
      <c r="X149" s="143"/>
      <c r="Y149" s="143"/>
      <c r="Z149" s="143"/>
      <c r="AA149" s="147"/>
      <c r="AT149" s="148" t="s">
        <v>169</v>
      </c>
      <c r="AU149" s="148" t="s">
        <v>106</v>
      </c>
      <c r="AV149" s="148" t="s">
        <v>106</v>
      </c>
      <c r="AW149" s="148" t="s">
        <v>114</v>
      </c>
      <c r="AX149" s="148" t="s">
        <v>16</v>
      </c>
      <c r="AY149" s="148" t="s">
        <v>161</v>
      </c>
    </row>
    <row r="150" spans="2:64" s="7" customFormat="1" ht="15.75" customHeight="1">
      <c r="B150" s="23"/>
      <c r="C150" s="135" t="s">
        <v>186</v>
      </c>
      <c r="D150" s="135" t="s">
        <v>163</v>
      </c>
      <c r="E150" s="136" t="s">
        <v>187</v>
      </c>
      <c r="F150" s="217" t="s">
        <v>188</v>
      </c>
      <c r="G150" s="213"/>
      <c r="H150" s="213"/>
      <c r="I150" s="213"/>
      <c r="J150" s="137" t="s">
        <v>166</v>
      </c>
      <c r="K150" s="138">
        <v>5.018</v>
      </c>
      <c r="L150" s="212">
        <v>0</v>
      </c>
      <c r="M150" s="213"/>
      <c r="N150" s="214">
        <f>ROUND($L$150*$K$150,2)</f>
        <v>0</v>
      </c>
      <c r="O150" s="213"/>
      <c r="P150" s="213"/>
      <c r="Q150" s="213"/>
      <c r="R150" s="25"/>
      <c r="T150" s="139"/>
      <c r="U150" s="31" t="s">
        <v>41</v>
      </c>
      <c r="V150" s="140">
        <v>0.009</v>
      </c>
      <c r="W150" s="140">
        <f>$V$150*$K$150</f>
        <v>0.045161999999999994</v>
      </c>
      <c r="X150" s="140">
        <v>0</v>
      </c>
      <c r="Y150" s="140">
        <f>$X$150*$K$150</f>
        <v>0</v>
      </c>
      <c r="Z150" s="140">
        <v>0</v>
      </c>
      <c r="AA150" s="141">
        <f>$Z$150*$K$150</f>
        <v>0</v>
      </c>
      <c r="AR150" s="7" t="s">
        <v>167</v>
      </c>
      <c r="AT150" s="7" t="s">
        <v>163</v>
      </c>
      <c r="AU150" s="7" t="s">
        <v>106</v>
      </c>
      <c r="AY150" s="7" t="s">
        <v>161</v>
      </c>
      <c r="BE150" s="89">
        <f>IF($U$150="základní",$N$150,0)</f>
        <v>0</v>
      </c>
      <c r="BF150" s="89">
        <f>IF($U$150="snížená",$N$150,0)</f>
        <v>0</v>
      </c>
      <c r="BG150" s="89">
        <f>IF($U$150="zákl. přenesená",$N$150,0)</f>
        <v>0</v>
      </c>
      <c r="BH150" s="89">
        <f>IF($U$150="sníž. přenesená",$N$150,0)</f>
        <v>0</v>
      </c>
      <c r="BI150" s="89">
        <f>IF($U$150="nulová",$N$150,0)</f>
        <v>0</v>
      </c>
      <c r="BJ150" s="7" t="s">
        <v>16</v>
      </c>
      <c r="BK150" s="89">
        <f>ROUND($L$150*$K$150,2)</f>
        <v>0</v>
      </c>
      <c r="BL150" s="7" t="s">
        <v>167</v>
      </c>
    </row>
    <row r="151" spans="2:64" s="7" customFormat="1" ht="27" customHeight="1">
      <c r="B151" s="23"/>
      <c r="C151" s="135" t="s">
        <v>189</v>
      </c>
      <c r="D151" s="135" t="s">
        <v>163</v>
      </c>
      <c r="E151" s="136" t="s">
        <v>190</v>
      </c>
      <c r="F151" s="217" t="s">
        <v>191</v>
      </c>
      <c r="G151" s="213"/>
      <c r="H151" s="213"/>
      <c r="I151" s="213"/>
      <c r="J151" s="137" t="s">
        <v>192</v>
      </c>
      <c r="K151" s="138">
        <v>8.531</v>
      </c>
      <c r="L151" s="212">
        <v>0</v>
      </c>
      <c r="M151" s="213"/>
      <c r="N151" s="214">
        <f>ROUND($L$151*$K$151,2)</f>
        <v>0</v>
      </c>
      <c r="O151" s="213"/>
      <c r="P151" s="213"/>
      <c r="Q151" s="213"/>
      <c r="R151" s="25"/>
      <c r="T151" s="139"/>
      <c r="U151" s="31" t="s">
        <v>41</v>
      </c>
      <c r="V151" s="140">
        <v>0</v>
      </c>
      <c r="W151" s="140">
        <f>$V$151*$K$151</f>
        <v>0</v>
      </c>
      <c r="X151" s="140">
        <v>0</v>
      </c>
      <c r="Y151" s="140">
        <f>$X$151*$K$151</f>
        <v>0</v>
      </c>
      <c r="Z151" s="140">
        <v>0</v>
      </c>
      <c r="AA151" s="141">
        <f>$Z$151*$K$151</f>
        <v>0</v>
      </c>
      <c r="AR151" s="7" t="s">
        <v>167</v>
      </c>
      <c r="AT151" s="7" t="s">
        <v>163</v>
      </c>
      <c r="AU151" s="7" t="s">
        <v>106</v>
      </c>
      <c r="AY151" s="7" t="s">
        <v>161</v>
      </c>
      <c r="BE151" s="89">
        <f>IF($U$151="základní",$N$151,0)</f>
        <v>0</v>
      </c>
      <c r="BF151" s="89">
        <f>IF($U$151="snížená",$N$151,0)</f>
        <v>0</v>
      </c>
      <c r="BG151" s="89">
        <f>IF($U$151="zákl. přenesená",$N$151,0)</f>
        <v>0</v>
      </c>
      <c r="BH151" s="89">
        <f>IF($U$151="sníž. přenesená",$N$151,0)</f>
        <v>0</v>
      </c>
      <c r="BI151" s="89">
        <f>IF($U$151="nulová",$N$151,0)</f>
        <v>0</v>
      </c>
      <c r="BJ151" s="7" t="s">
        <v>16</v>
      </c>
      <c r="BK151" s="89">
        <f>ROUND($L$151*$K$151,2)</f>
        <v>0</v>
      </c>
      <c r="BL151" s="7" t="s">
        <v>167</v>
      </c>
    </row>
    <row r="152" spans="2:51" s="7" customFormat="1" ht="15.75" customHeight="1">
      <c r="B152" s="142"/>
      <c r="C152" s="143"/>
      <c r="D152" s="143"/>
      <c r="E152" s="143"/>
      <c r="F152" s="215" t="s">
        <v>193</v>
      </c>
      <c r="G152" s="216"/>
      <c r="H152" s="216"/>
      <c r="I152" s="216"/>
      <c r="J152" s="143"/>
      <c r="K152" s="144">
        <v>8.531</v>
      </c>
      <c r="L152" s="143"/>
      <c r="M152" s="143"/>
      <c r="N152" s="143"/>
      <c r="O152" s="143"/>
      <c r="P152" s="143"/>
      <c r="Q152" s="143"/>
      <c r="R152" s="145"/>
      <c r="T152" s="146"/>
      <c r="U152" s="143"/>
      <c r="V152" s="143"/>
      <c r="W152" s="143"/>
      <c r="X152" s="143"/>
      <c r="Y152" s="143"/>
      <c r="Z152" s="143"/>
      <c r="AA152" s="147"/>
      <c r="AT152" s="148" t="s">
        <v>169</v>
      </c>
      <c r="AU152" s="148" t="s">
        <v>106</v>
      </c>
      <c r="AV152" s="148" t="s">
        <v>106</v>
      </c>
      <c r="AW152" s="148" t="s">
        <v>114</v>
      </c>
      <c r="AX152" s="148" t="s">
        <v>16</v>
      </c>
      <c r="AY152" s="148" t="s">
        <v>161</v>
      </c>
    </row>
    <row r="153" spans="2:64" s="7" customFormat="1" ht="39" customHeight="1">
      <c r="B153" s="23"/>
      <c r="C153" s="135" t="s">
        <v>194</v>
      </c>
      <c r="D153" s="135" t="s">
        <v>163</v>
      </c>
      <c r="E153" s="136" t="s">
        <v>195</v>
      </c>
      <c r="F153" s="217" t="s">
        <v>196</v>
      </c>
      <c r="G153" s="213"/>
      <c r="H153" s="213"/>
      <c r="I153" s="213"/>
      <c r="J153" s="137" t="s">
        <v>166</v>
      </c>
      <c r="K153" s="138">
        <v>6.219</v>
      </c>
      <c r="L153" s="212">
        <v>0</v>
      </c>
      <c r="M153" s="213"/>
      <c r="N153" s="214">
        <f>ROUND($L$153*$K$153,2)</f>
        <v>0</v>
      </c>
      <c r="O153" s="213"/>
      <c r="P153" s="213"/>
      <c r="Q153" s="213"/>
      <c r="R153" s="25"/>
      <c r="T153" s="139"/>
      <c r="U153" s="31" t="s">
        <v>41</v>
      </c>
      <c r="V153" s="140">
        <v>2.195</v>
      </c>
      <c r="W153" s="140">
        <f>$V$153*$K$153</f>
        <v>13.650705</v>
      </c>
      <c r="X153" s="140">
        <v>0</v>
      </c>
      <c r="Y153" s="140">
        <f>$X$153*$K$153</f>
        <v>0</v>
      </c>
      <c r="Z153" s="140">
        <v>0</v>
      </c>
      <c r="AA153" s="141">
        <f>$Z$153*$K$153</f>
        <v>0</v>
      </c>
      <c r="AR153" s="7" t="s">
        <v>167</v>
      </c>
      <c r="AT153" s="7" t="s">
        <v>163</v>
      </c>
      <c r="AU153" s="7" t="s">
        <v>106</v>
      </c>
      <c r="AY153" s="7" t="s">
        <v>161</v>
      </c>
      <c r="BE153" s="89">
        <f>IF($U$153="základní",$N$153,0)</f>
        <v>0</v>
      </c>
      <c r="BF153" s="89">
        <f>IF($U$153="snížená",$N$153,0)</f>
        <v>0</v>
      </c>
      <c r="BG153" s="89">
        <f>IF($U$153="zákl. přenesená",$N$153,0)</f>
        <v>0</v>
      </c>
      <c r="BH153" s="89">
        <f>IF($U$153="sníž. přenesená",$N$153,0)</f>
        <v>0</v>
      </c>
      <c r="BI153" s="89">
        <f>IF($U$153="nulová",$N$153,0)</f>
        <v>0</v>
      </c>
      <c r="BJ153" s="7" t="s">
        <v>16</v>
      </c>
      <c r="BK153" s="89">
        <f>ROUND($L$153*$K$153,2)</f>
        <v>0</v>
      </c>
      <c r="BL153" s="7" t="s">
        <v>167</v>
      </c>
    </row>
    <row r="154" spans="2:47" s="7" customFormat="1" ht="15.75" customHeight="1">
      <c r="B154" s="23"/>
      <c r="C154" s="24"/>
      <c r="D154" s="24"/>
      <c r="E154" s="24"/>
      <c r="F154" s="218" t="s">
        <v>197</v>
      </c>
      <c r="G154" s="170"/>
      <c r="H154" s="170"/>
      <c r="I154" s="170"/>
      <c r="J154" s="24"/>
      <c r="K154" s="24"/>
      <c r="L154" s="24"/>
      <c r="M154" s="24"/>
      <c r="N154" s="24"/>
      <c r="O154" s="24"/>
      <c r="P154" s="24"/>
      <c r="Q154" s="24"/>
      <c r="R154" s="25"/>
      <c r="T154" s="60"/>
      <c r="U154" s="24"/>
      <c r="V154" s="24"/>
      <c r="W154" s="24"/>
      <c r="X154" s="24"/>
      <c r="Y154" s="24"/>
      <c r="Z154" s="24"/>
      <c r="AA154" s="61"/>
      <c r="AT154" s="7" t="s">
        <v>198</v>
      </c>
      <c r="AU154" s="7" t="s">
        <v>106</v>
      </c>
    </row>
    <row r="155" spans="2:51" s="7" customFormat="1" ht="15.75" customHeight="1">
      <c r="B155" s="142"/>
      <c r="C155" s="143"/>
      <c r="D155" s="143"/>
      <c r="E155" s="143"/>
      <c r="F155" s="215" t="s">
        <v>199</v>
      </c>
      <c r="G155" s="216"/>
      <c r="H155" s="216"/>
      <c r="I155" s="216"/>
      <c r="J155" s="143"/>
      <c r="K155" s="144">
        <v>6.219</v>
      </c>
      <c r="L155" s="143"/>
      <c r="M155" s="143"/>
      <c r="N155" s="143"/>
      <c r="O155" s="143"/>
      <c r="P155" s="143"/>
      <c r="Q155" s="143"/>
      <c r="R155" s="145"/>
      <c r="T155" s="146"/>
      <c r="U155" s="143"/>
      <c r="V155" s="143"/>
      <c r="W155" s="143"/>
      <c r="X155" s="143"/>
      <c r="Y155" s="143"/>
      <c r="Z155" s="143"/>
      <c r="AA155" s="147"/>
      <c r="AT155" s="148" t="s">
        <v>169</v>
      </c>
      <c r="AU155" s="148" t="s">
        <v>106</v>
      </c>
      <c r="AV155" s="148" t="s">
        <v>106</v>
      </c>
      <c r="AW155" s="148" t="s">
        <v>114</v>
      </c>
      <c r="AX155" s="148" t="s">
        <v>16</v>
      </c>
      <c r="AY155" s="148" t="s">
        <v>161</v>
      </c>
    </row>
    <row r="156" spans="2:64" s="7" customFormat="1" ht="15.75" customHeight="1">
      <c r="B156" s="23"/>
      <c r="C156" s="156" t="s">
        <v>200</v>
      </c>
      <c r="D156" s="156" t="s">
        <v>201</v>
      </c>
      <c r="E156" s="157" t="s">
        <v>202</v>
      </c>
      <c r="F156" s="219" t="s">
        <v>203</v>
      </c>
      <c r="G156" s="220"/>
      <c r="H156" s="220"/>
      <c r="I156" s="220"/>
      <c r="J156" s="158" t="s">
        <v>192</v>
      </c>
      <c r="K156" s="159">
        <v>11.194</v>
      </c>
      <c r="L156" s="221">
        <v>0</v>
      </c>
      <c r="M156" s="220"/>
      <c r="N156" s="222">
        <f>ROUND($L$156*$K$156,2)</f>
        <v>0</v>
      </c>
      <c r="O156" s="213"/>
      <c r="P156" s="213"/>
      <c r="Q156" s="213"/>
      <c r="R156" s="25"/>
      <c r="T156" s="139"/>
      <c r="U156" s="31" t="s">
        <v>41</v>
      </c>
      <c r="V156" s="140">
        <v>0</v>
      </c>
      <c r="W156" s="140">
        <f>$V$156*$K$156</f>
        <v>0</v>
      </c>
      <c r="X156" s="140">
        <v>1</v>
      </c>
      <c r="Y156" s="140">
        <f>$X$156*$K$156</f>
        <v>11.194</v>
      </c>
      <c r="Z156" s="140">
        <v>0</v>
      </c>
      <c r="AA156" s="141">
        <f>$Z$156*$K$156</f>
        <v>0</v>
      </c>
      <c r="AR156" s="7" t="s">
        <v>204</v>
      </c>
      <c r="AT156" s="7" t="s">
        <v>201</v>
      </c>
      <c r="AU156" s="7" t="s">
        <v>106</v>
      </c>
      <c r="AY156" s="7" t="s">
        <v>161</v>
      </c>
      <c r="BE156" s="89">
        <f>IF($U$156="základní",$N$156,0)</f>
        <v>0</v>
      </c>
      <c r="BF156" s="89">
        <f>IF($U$156="snížená",$N$156,0)</f>
        <v>0</v>
      </c>
      <c r="BG156" s="89">
        <f>IF($U$156="zákl. přenesená",$N$156,0)</f>
        <v>0</v>
      </c>
      <c r="BH156" s="89">
        <f>IF($U$156="sníž. přenesená",$N$156,0)</f>
        <v>0</v>
      </c>
      <c r="BI156" s="89">
        <f>IF($U$156="nulová",$N$156,0)</f>
        <v>0</v>
      </c>
      <c r="BJ156" s="7" t="s">
        <v>16</v>
      </c>
      <c r="BK156" s="89">
        <f>ROUND($L$156*$K$156,2)</f>
        <v>0</v>
      </c>
      <c r="BL156" s="7" t="s">
        <v>167</v>
      </c>
    </row>
    <row r="157" spans="2:51" s="7" customFormat="1" ht="15.75" customHeight="1">
      <c r="B157" s="142"/>
      <c r="C157" s="143"/>
      <c r="D157" s="143"/>
      <c r="E157" s="143"/>
      <c r="F157" s="215" t="s">
        <v>205</v>
      </c>
      <c r="G157" s="216"/>
      <c r="H157" s="216"/>
      <c r="I157" s="216"/>
      <c r="J157" s="143"/>
      <c r="K157" s="144">
        <v>11.194</v>
      </c>
      <c r="L157" s="143"/>
      <c r="M157" s="143"/>
      <c r="N157" s="143"/>
      <c r="O157" s="143"/>
      <c r="P157" s="143"/>
      <c r="Q157" s="143"/>
      <c r="R157" s="145"/>
      <c r="T157" s="146"/>
      <c r="U157" s="143"/>
      <c r="V157" s="143"/>
      <c r="W157" s="143"/>
      <c r="X157" s="143"/>
      <c r="Y157" s="143"/>
      <c r="Z157" s="143"/>
      <c r="AA157" s="147"/>
      <c r="AT157" s="148" t="s">
        <v>169</v>
      </c>
      <c r="AU157" s="148" t="s">
        <v>106</v>
      </c>
      <c r="AV157" s="148" t="s">
        <v>106</v>
      </c>
      <c r="AW157" s="148" t="s">
        <v>114</v>
      </c>
      <c r="AX157" s="148" t="s">
        <v>16</v>
      </c>
      <c r="AY157" s="148" t="s">
        <v>161</v>
      </c>
    </row>
    <row r="158" spans="2:63" s="124" customFormat="1" ht="30.75" customHeight="1">
      <c r="B158" s="125"/>
      <c r="C158" s="126"/>
      <c r="D158" s="134" t="s">
        <v>117</v>
      </c>
      <c r="E158" s="126"/>
      <c r="F158" s="126"/>
      <c r="G158" s="126"/>
      <c r="H158" s="126"/>
      <c r="I158" s="126"/>
      <c r="J158" s="126"/>
      <c r="K158" s="126"/>
      <c r="L158" s="126"/>
      <c r="M158" s="126"/>
      <c r="N158" s="206">
        <f>$BK$158</f>
        <v>0</v>
      </c>
      <c r="O158" s="207"/>
      <c r="P158" s="207"/>
      <c r="Q158" s="207"/>
      <c r="R158" s="128"/>
      <c r="T158" s="129"/>
      <c r="U158" s="126"/>
      <c r="V158" s="126"/>
      <c r="W158" s="130">
        <f>SUM($W$159:$W$172)</f>
        <v>5.756113999999999</v>
      </c>
      <c r="X158" s="126"/>
      <c r="Y158" s="130">
        <f>SUM($Y$159:$Y$172)</f>
        <v>12.337828579999996</v>
      </c>
      <c r="Z158" s="126"/>
      <c r="AA158" s="131">
        <f>SUM($AA$159:$AA$172)</f>
        <v>0</v>
      </c>
      <c r="AR158" s="132" t="s">
        <v>16</v>
      </c>
      <c r="AT158" s="132" t="s">
        <v>75</v>
      </c>
      <c r="AU158" s="132" t="s">
        <v>16</v>
      </c>
      <c r="AY158" s="132" t="s">
        <v>161</v>
      </c>
      <c r="BK158" s="133">
        <f>SUM($BK$159:$BK$172)</f>
        <v>0</v>
      </c>
    </row>
    <row r="159" spans="2:64" s="7" customFormat="1" ht="15.75" customHeight="1">
      <c r="B159" s="23"/>
      <c r="C159" s="135" t="s">
        <v>206</v>
      </c>
      <c r="D159" s="135" t="s">
        <v>163</v>
      </c>
      <c r="E159" s="136" t="s">
        <v>207</v>
      </c>
      <c r="F159" s="217" t="s">
        <v>208</v>
      </c>
      <c r="G159" s="213"/>
      <c r="H159" s="213"/>
      <c r="I159" s="213"/>
      <c r="J159" s="137" t="s">
        <v>166</v>
      </c>
      <c r="K159" s="138">
        <v>4.89</v>
      </c>
      <c r="L159" s="212">
        <v>0</v>
      </c>
      <c r="M159" s="213"/>
      <c r="N159" s="214">
        <f>ROUND($L$159*$K$159,2)</f>
        <v>0</v>
      </c>
      <c r="O159" s="213"/>
      <c r="P159" s="213"/>
      <c r="Q159" s="213"/>
      <c r="R159" s="25"/>
      <c r="T159" s="139"/>
      <c r="U159" s="31" t="s">
        <v>41</v>
      </c>
      <c r="V159" s="140">
        <v>0.584</v>
      </c>
      <c r="W159" s="140">
        <f>$V$159*$K$159</f>
        <v>2.8557599999999996</v>
      </c>
      <c r="X159" s="140">
        <v>2.25634</v>
      </c>
      <c r="Y159" s="140">
        <f>$X$159*$K$159</f>
        <v>11.033502599999998</v>
      </c>
      <c r="Z159" s="140">
        <v>0</v>
      </c>
      <c r="AA159" s="141">
        <f>$Z$159*$K$159</f>
        <v>0</v>
      </c>
      <c r="AR159" s="7" t="s">
        <v>167</v>
      </c>
      <c r="AT159" s="7" t="s">
        <v>163</v>
      </c>
      <c r="AU159" s="7" t="s">
        <v>106</v>
      </c>
      <c r="AY159" s="7" t="s">
        <v>161</v>
      </c>
      <c r="BE159" s="89">
        <f>IF($U$159="základní",$N$159,0)</f>
        <v>0</v>
      </c>
      <c r="BF159" s="89">
        <f>IF($U$159="snížená",$N$159,0)</f>
        <v>0</v>
      </c>
      <c r="BG159" s="89">
        <f>IF($U$159="zákl. přenesená",$N$159,0)</f>
        <v>0</v>
      </c>
      <c r="BH159" s="89">
        <f>IF($U$159="sníž. přenesená",$N$159,0)</f>
        <v>0</v>
      </c>
      <c r="BI159" s="89">
        <f>IF($U$159="nulová",$N$159,0)</f>
        <v>0</v>
      </c>
      <c r="BJ159" s="7" t="s">
        <v>16</v>
      </c>
      <c r="BK159" s="89">
        <f>ROUND($L$159*$K$159,2)</f>
        <v>0</v>
      </c>
      <c r="BL159" s="7" t="s">
        <v>167</v>
      </c>
    </row>
    <row r="160" spans="2:51" s="7" customFormat="1" ht="15.75" customHeight="1">
      <c r="B160" s="142"/>
      <c r="C160" s="143"/>
      <c r="D160" s="143"/>
      <c r="E160" s="143"/>
      <c r="F160" s="215" t="s">
        <v>209</v>
      </c>
      <c r="G160" s="216"/>
      <c r="H160" s="216"/>
      <c r="I160" s="216"/>
      <c r="J160" s="143"/>
      <c r="K160" s="144">
        <v>3.362</v>
      </c>
      <c r="L160" s="143"/>
      <c r="M160" s="143"/>
      <c r="N160" s="143"/>
      <c r="O160" s="143"/>
      <c r="P160" s="143"/>
      <c r="Q160" s="143"/>
      <c r="R160" s="145"/>
      <c r="T160" s="146"/>
      <c r="U160" s="143"/>
      <c r="V160" s="143"/>
      <c r="W160" s="143"/>
      <c r="X160" s="143"/>
      <c r="Y160" s="143"/>
      <c r="Z160" s="143"/>
      <c r="AA160" s="147"/>
      <c r="AT160" s="148" t="s">
        <v>169</v>
      </c>
      <c r="AU160" s="148" t="s">
        <v>106</v>
      </c>
      <c r="AV160" s="148" t="s">
        <v>106</v>
      </c>
      <c r="AW160" s="148" t="s">
        <v>114</v>
      </c>
      <c r="AX160" s="148" t="s">
        <v>76</v>
      </c>
      <c r="AY160" s="148" t="s">
        <v>161</v>
      </c>
    </row>
    <row r="161" spans="2:51" s="7" customFormat="1" ht="15.75" customHeight="1">
      <c r="B161" s="142"/>
      <c r="C161" s="143"/>
      <c r="D161" s="143"/>
      <c r="E161" s="143"/>
      <c r="F161" s="215" t="s">
        <v>210</v>
      </c>
      <c r="G161" s="216"/>
      <c r="H161" s="216"/>
      <c r="I161" s="216"/>
      <c r="J161" s="143"/>
      <c r="K161" s="144">
        <v>1.528</v>
      </c>
      <c r="L161" s="143"/>
      <c r="M161" s="143"/>
      <c r="N161" s="143"/>
      <c r="O161" s="143"/>
      <c r="P161" s="143"/>
      <c r="Q161" s="143"/>
      <c r="R161" s="145"/>
      <c r="T161" s="146"/>
      <c r="U161" s="143"/>
      <c r="V161" s="143"/>
      <c r="W161" s="143"/>
      <c r="X161" s="143"/>
      <c r="Y161" s="143"/>
      <c r="Z161" s="143"/>
      <c r="AA161" s="147"/>
      <c r="AT161" s="148" t="s">
        <v>169</v>
      </c>
      <c r="AU161" s="148" t="s">
        <v>106</v>
      </c>
      <c r="AV161" s="148" t="s">
        <v>106</v>
      </c>
      <c r="AW161" s="148" t="s">
        <v>114</v>
      </c>
      <c r="AX161" s="148" t="s">
        <v>76</v>
      </c>
      <c r="AY161" s="148" t="s">
        <v>161</v>
      </c>
    </row>
    <row r="162" spans="2:51" s="7" customFormat="1" ht="15.75" customHeight="1">
      <c r="B162" s="149"/>
      <c r="C162" s="150"/>
      <c r="D162" s="150"/>
      <c r="E162" s="150"/>
      <c r="F162" s="223" t="s">
        <v>178</v>
      </c>
      <c r="G162" s="224"/>
      <c r="H162" s="224"/>
      <c r="I162" s="224"/>
      <c r="J162" s="150"/>
      <c r="K162" s="151">
        <v>4.89</v>
      </c>
      <c r="L162" s="150"/>
      <c r="M162" s="150"/>
      <c r="N162" s="150"/>
      <c r="O162" s="150"/>
      <c r="P162" s="150"/>
      <c r="Q162" s="150"/>
      <c r="R162" s="152"/>
      <c r="T162" s="153"/>
      <c r="U162" s="150"/>
      <c r="V162" s="150"/>
      <c r="W162" s="150"/>
      <c r="X162" s="150"/>
      <c r="Y162" s="150"/>
      <c r="Z162" s="150"/>
      <c r="AA162" s="154"/>
      <c r="AT162" s="155" t="s">
        <v>169</v>
      </c>
      <c r="AU162" s="155" t="s">
        <v>106</v>
      </c>
      <c r="AV162" s="155" t="s">
        <v>167</v>
      </c>
      <c r="AW162" s="155" t="s">
        <v>114</v>
      </c>
      <c r="AX162" s="155" t="s">
        <v>16</v>
      </c>
      <c r="AY162" s="155" t="s">
        <v>161</v>
      </c>
    </row>
    <row r="163" spans="2:64" s="7" customFormat="1" ht="15.75" customHeight="1">
      <c r="B163" s="23"/>
      <c r="C163" s="135" t="s">
        <v>211</v>
      </c>
      <c r="D163" s="135" t="s">
        <v>163</v>
      </c>
      <c r="E163" s="136" t="s">
        <v>212</v>
      </c>
      <c r="F163" s="217" t="s">
        <v>213</v>
      </c>
      <c r="G163" s="213"/>
      <c r="H163" s="213"/>
      <c r="I163" s="213"/>
      <c r="J163" s="137" t="s">
        <v>214</v>
      </c>
      <c r="K163" s="138">
        <v>4.058</v>
      </c>
      <c r="L163" s="212">
        <v>0</v>
      </c>
      <c r="M163" s="213"/>
      <c r="N163" s="214">
        <f>ROUND($L$163*$K$163,2)</f>
        <v>0</v>
      </c>
      <c r="O163" s="213"/>
      <c r="P163" s="213"/>
      <c r="Q163" s="213"/>
      <c r="R163" s="25"/>
      <c r="T163" s="139"/>
      <c r="U163" s="31" t="s">
        <v>41</v>
      </c>
      <c r="V163" s="140">
        <v>0.364</v>
      </c>
      <c r="W163" s="140">
        <f>$V$163*$K$163</f>
        <v>1.477112</v>
      </c>
      <c r="X163" s="140">
        <v>0.00103</v>
      </c>
      <c r="Y163" s="140">
        <f>$X$163*$K$163</f>
        <v>0.00417974</v>
      </c>
      <c r="Z163" s="140">
        <v>0</v>
      </c>
      <c r="AA163" s="141">
        <f>$Z$163*$K$163</f>
        <v>0</v>
      </c>
      <c r="AR163" s="7" t="s">
        <v>167</v>
      </c>
      <c r="AT163" s="7" t="s">
        <v>163</v>
      </c>
      <c r="AU163" s="7" t="s">
        <v>106</v>
      </c>
      <c r="AY163" s="7" t="s">
        <v>161</v>
      </c>
      <c r="BE163" s="89">
        <f>IF($U$163="základní",$N$163,0)</f>
        <v>0</v>
      </c>
      <c r="BF163" s="89">
        <f>IF($U$163="snížená",$N$163,0)</f>
        <v>0</v>
      </c>
      <c r="BG163" s="89">
        <f>IF($U$163="zákl. přenesená",$N$163,0)</f>
        <v>0</v>
      </c>
      <c r="BH163" s="89">
        <f>IF($U$163="sníž. přenesená",$N$163,0)</f>
        <v>0</v>
      </c>
      <c r="BI163" s="89">
        <f>IF($U$163="nulová",$N$163,0)</f>
        <v>0</v>
      </c>
      <c r="BJ163" s="7" t="s">
        <v>16</v>
      </c>
      <c r="BK163" s="89">
        <f>ROUND($L$163*$K$163,2)</f>
        <v>0</v>
      </c>
      <c r="BL163" s="7" t="s">
        <v>167</v>
      </c>
    </row>
    <row r="164" spans="2:51" s="7" customFormat="1" ht="15.75" customHeight="1">
      <c r="B164" s="142"/>
      <c r="C164" s="143"/>
      <c r="D164" s="143"/>
      <c r="E164" s="143"/>
      <c r="F164" s="215" t="s">
        <v>215</v>
      </c>
      <c r="G164" s="216"/>
      <c r="H164" s="216"/>
      <c r="I164" s="216"/>
      <c r="J164" s="143"/>
      <c r="K164" s="144">
        <v>2.55</v>
      </c>
      <c r="L164" s="143"/>
      <c r="M164" s="143"/>
      <c r="N164" s="143"/>
      <c r="O164" s="143"/>
      <c r="P164" s="143"/>
      <c r="Q164" s="143"/>
      <c r="R164" s="145"/>
      <c r="T164" s="146"/>
      <c r="U164" s="143"/>
      <c r="V164" s="143"/>
      <c r="W164" s="143"/>
      <c r="X164" s="143"/>
      <c r="Y164" s="143"/>
      <c r="Z164" s="143"/>
      <c r="AA164" s="147"/>
      <c r="AT164" s="148" t="s">
        <v>169</v>
      </c>
      <c r="AU164" s="148" t="s">
        <v>106</v>
      </c>
      <c r="AV164" s="148" t="s">
        <v>106</v>
      </c>
      <c r="AW164" s="148" t="s">
        <v>114</v>
      </c>
      <c r="AX164" s="148" t="s">
        <v>76</v>
      </c>
      <c r="AY164" s="148" t="s">
        <v>161</v>
      </c>
    </row>
    <row r="165" spans="2:51" s="7" customFormat="1" ht="15.75" customHeight="1">
      <c r="B165" s="142"/>
      <c r="C165" s="143"/>
      <c r="D165" s="143"/>
      <c r="E165" s="143"/>
      <c r="F165" s="215" t="s">
        <v>216</v>
      </c>
      <c r="G165" s="216"/>
      <c r="H165" s="216"/>
      <c r="I165" s="216"/>
      <c r="J165" s="143"/>
      <c r="K165" s="144">
        <v>1.508</v>
      </c>
      <c r="L165" s="143"/>
      <c r="M165" s="143"/>
      <c r="N165" s="143"/>
      <c r="O165" s="143"/>
      <c r="P165" s="143"/>
      <c r="Q165" s="143"/>
      <c r="R165" s="145"/>
      <c r="T165" s="146"/>
      <c r="U165" s="143"/>
      <c r="V165" s="143"/>
      <c r="W165" s="143"/>
      <c r="X165" s="143"/>
      <c r="Y165" s="143"/>
      <c r="Z165" s="143"/>
      <c r="AA165" s="147"/>
      <c r="AT165" s="148" t="s">
        <v>169</v>
      </c>
      <c r="AU165" s="148" t="s">
        <v>106</v>
      </c>
      <c r="AV165" s="148" t="s">
        <v>106</v>
      </c>
      <c r="AW165" s="148" t="s">
        <v>114</v>
      </c>
      <c r="AX165" s="148" t="s">
        <v>76</v>
      </c>
      <c r="AY165" s="148" t="s">
        <v>161</v>
      </c>
    </row>
    <row r="166" spans="2:51" s="7" customFormat="1" ht="15.75" customHeight="1">
      <c r="B166" s="149"/>
      <c r="C166" s="150"/>
      <c r="D166" s="150"/>
      <c r="E166" s="150"/>
      <c r="F166" s="223" t="s">
        <v>178</v>
      </c>
      <c r="G166" s="224"/>
      <c r="H166" s="224"/>
      <c r="I166" s="224"/>
      <c r="J166" s="150"/>
      <c r="K166" s="151">
        <v>4.058</v>
      </c>
      <c r="L166" s="150"/>
      <c r="M166" s="150"/>
      <c r="N166" s="150"/>
      <c r="O166" s="150"/>
      <c r="P166" s="150"/>
      <c r="Q166" s="150"/>
      <c r="R166" s="152"/>
      <c r="T166" s="153"/>
      <c r="U166" s="150"/>
      <c r="V166" s="150"/>
      <c r="W166" s="150"/>
      <c r="X166" s="150"/>
      <c r="Y166" s="150"/>
      <c r="Z166" s="150"/>
      <c r="AA166" s="154"/>
      <c r="AT166" s="155" t="s">
        <v>169</v>
      </c>
      <c r="AU166" s="155" t="s">
        <v>106</v>
      </c>
      <c r="AV166" s="155" t="s">
        <v>167</v>
      </c>
      <c r="AW166" s="155" t="s">
        <v>114</v>
      </c>
      <c r="AX166" s="155" t="s">
        <v>16</v>
      </c>
      <c r="AY166" s="155" t="s">
        <v>161</v>
      </c>
    </row>
    <row r="167" spans="2:64" s="7" customFormat="1" ht="15.75" customHeight="1">
      <c r="B167" s="23"/>
      <c r="C167" s="135" t="s">
        <v>217</v>
      </c>
      <c r="D167" s="135" t="s">
        <v>163</v>
      </c>
      <c r="E167" s="136" t="s">
        <v>218</v>
      </c>
      <c r="F167" s="217" t="s">
        <v>219</v>
      </c>
      <c r="G167" s="213"/>
      <c r="H167" s="213"/>
      <c r="I167" s="213"/>
      <c r="J167" s="137" t="s">
        <v>214</v>
      </c>
      <c r="K167" s="138">
        <v>4.058</v>
      </c>
      <c r="L167" s="212">
        <v>0</v>
      </c>
      <c r="M167" s="213"/>
      <c r="N167" s="214">
        <f>ROUND($L$167*$K$167,2)</f>
        <v>0</v>
      </c>
      <c r="O167" s="213"/>
      <c r="P167" s="213"/>
      <c r="Q167" s="213"/>
      <c r="R167" s="25"/>
      <c r="T167" s="139"/>
      <c r="U167" s="31" t="s">
        <v>41</v>
      </c>
      <c r="V167" s="140">
        <v>0.201</v>
      </c>
      <c r="W167" s="140">
        <f>$V$167*$K$167</f>
        <v>0.815658</v>
      </c>
      <c r="X167" s="140">
        <v>0</v>
      </c>
      <c r="Y167" s="140">
        <f>$X$167*$K$167</f>
        <v>0</v>
      </c>
      <c r="Z167" s="140">
        <v>0</v>
      </c>
      <c r="AA167" s="141">
        <f>$Z$167*$K$167</f>
        <v>0</v>
      </c>
      <c r="AR167" s="7" t="s">
        <v>167</v>
      </c>
      <c r="AT167" s="7" t="s">
        <v>163</v>
      </c>
      <c r="AU167" s="7" t="s">
        <v>106</v>
      </c>
      <c r="AY167" s="7" t="s">
        <v>161</v>
      </c>
      <c r="BE167" s="89">
        <f>IF($U$167="základní",$N$167,0)</f>
        <v>0</v>
      </c>
      <c r="BF167" s="89">
        <f>IF($U$167="snížená",$N$167,0)</f>
        <v>0</v>
      </c>
      <c r="BG167" s="89">
        <f>IF($U$167="zákl. přenesená",$N$167,0)</f>
        <v>0</v>
      </c>
      <c r="BH167" s="89">
        <f>IF($U$167="sníž. přenesená",$N$167,0)</f>
        <v>0</v>
      </c>
      <c r="BI167" s="89">
        <f>IF($U$167="nulová",$N$167,0)</f>
        <v>0</v>
      </c>
      <c r="BJ167" s="7" t="s">
        <v>16</v>
      </c>
      <c r="BK167" s="89">
        <f>ROUND($L$167*$K$167,2)</f>
        <v>0</v>
      </c>
      <c r="BL167" s="7" t="s">
        <v>167</v>
      </c>
    </row>
    <row r="168" spans="2:64" s="7" customFormat="1" ht="15.75" customHeight="1">
      <c r="B168" s="23"/>
      <c r="C168" s="135" t="s">
        <v>220</v>
      </c>
      <c r="D168" s="135" t="s">
        <v>163</v>
      </c>
      <c r="E168" s="136" t="s">
        <v>221</v>
      </c>
      <c r="F168" s="217" t="s">
        <v>222</v>
      </c>
      <c r="G168" s="213"/>
      <c r="H168" s="213"/>
      <c r="I168" s="213"/>
      <c r="J168" s="137" t="s">
        <v>166</v>
      </c>
      <c r="K168" s="138">
        <v>0.576</v>
      </c>
      <c r="L168" s="212">
        <v>0</v>
      </c>
      <c r="M168" s="213"/>
      <c r="N168" s="214">
        <f>ROUND($L$168*$K$168,2)</f>
        <v>0</v>
      </c>
      <c r="O168" s="213"/>
      <c r="P168" s="213"/>
      <c r="Q168" s="213"/>
      <c r="R168" s="25"/>
      <c r="T168" s="139"/>
      <c r="U168" s="31" t="s">
        <v>41</v>
      </c>
      <c r="V168" s="140">
        <v>0.584</v>
      </c>
      <c r="W168" s="140">
        <f>$V$168*$K$168</f>
        <v>0.33638399999999996</v>
      </c>
      <c r="X168" s="140">
        <v>2.25634</v>
      </c>
      <c r="Y168" s="140">
        <f>$X$168*$K$168</f>
        <v>1.29965184</v>
      </c>
      <c r="Z168" s="140">
        <v>0</v>
      </c>
      <c r="AA168" s="141">
        <f>$Z$168*$K$168</f>
        <v>0</v>
      </c>
      <c r="AR168" s="7" t="s">
        <v>167</v>
      </c>
      <c r="AT168" s="7" t="s">
        <v>163</v>
      </c>
      <c r="AU168" s="7" t="s">
        <v>106</v>
      </c>
      <c r="AY168" s="7" t="s">
        <v>161</v>
      </c>
      <c r="BE168" s="89">
        <f>IF($U$168="základní",$N$168,0)</f>
        <v>0</v>
      </c>
      <c r="BF168" s="89">
        <f>IF($U$168="snížená",$N$168,0)</f>
        <v>0</v>
      </c>
      <c r="BG168" s="89">
        <f>IF($U$168="zákl. přenesená",$N$168,0)</f>
        <v>0</v>
      </c>
      <c r="BH168" s="89">
        <f>IF($U$168="sníž. přenesená",$N$168,0)</f>
        <v>0</v>
      </c>
      <c r="BI168" s="89">
        <f>IF($U$168="nulová",$N$168,0)</f>
        <v>0</v>
      </c>
      <c r="BJ168" s="7" t="s">
        <v>16</v>
      </c>
      <c r="BK168" s="89">
        <f>ROUND($L$168*$K$168,2)</f>
        <v>0</v>
      </c>
      <c r="BL168" s="7" t="s">
        <v>167</v>
      </c>
    </row>
    <row r="169" spans="2:51" s="7" customFormat="1" ht="15.75" customHeight="1">
      <c r="B169" s="142"/>
      <c r="C169" s="143"/>
      <c r="D169" s="143"/>
      <c r="E169" s="143"/>
      <c r="F169" s="215" t="s">
        <v>168</v>
      </c>
      <c r="G169" s="216"/>
      <c r="H169" s="216"/>
      <c r="I169" s="216"/>
      <c r="J169" s="143"/>
      <c r="K169" s="144">
        <v>0.576</v>
      </c>
      <c r="L169" s="143"/>
      <c r="M169" s="143"/>
      <c r="N169" s="143"/>
      <c r="O169" s="143"/>
      <c r="P169" s="143"/>
      <c r="Q169" s="143"/>
      <c r="R169" s="145"/>
      <c r="T169" s="146"/>
      <c r="U169" s="143"/>
      <c r="V169" s="143"/>
      <c r="W169" s="143"/>
      <c r="X169" s="143"/>
      <c r="Y169" s="143"/>
      <c r="Z169" s="143"/>
      <c r="AA169" s="147"/>
      <c r="AT169" s="148" t="s">
        <v>169</v>
      </c>
      <c r="AU169" s="148" t="s">
        <v>106</v>
      </c>
      <c r="AV169" s="148" t="s">
        <v>106</v>
      </c>
      <c r="AW169" s="148" t="s">
        <v>114</v>
      </c>
      <c r="AX169" s="148" t="s">
        <v>16</v>
      </c>
      <c r="AY169" s="148" t="s">
        <v>161</v>
      </c>
    </row>
    <row r="170" spans="2:64" s="7" customFormat="1" ht="15.75" customHeight="1">
      <c r="B170" s="23"/>
      <c r="C170" s="135" t="s">
        <v>223</v>
      </c>
      <c r="D170" s="135" t="s">
        <v>163</v>
      </c>
      <c r="E170" s="136" t="s">
        <v>224</v>
      </c>
      <c r="F170" s="217" t="s">
        <v>225</v>
      </c>
      <c r="G170" s="213"/>
      <c r="H170" s="213"/>
      <c r="I170" s="213"/>
      <c r="J170" s="137" t="s">
        <v>214</v>
      </c>
      <c r="K170" s="138">
        <v>0.48</v>
      </c>
      <c r="L170" s="212">
        <v>0</v>
      </c>
      <c r="M170" s="213"/>
      <c r="N170" s="214">
        <f>ROUND($L$170*$K$170,2)</f>
        <v>0</v>
      </c>
      <c r="O170" s="213"/>
      <c r="P170" s="213"/>
      <c r="Q170" s="213"/>
      <c r="R170" s="25"/>
      <c r="T170" s="139"/>
      <c r="U170" s="31" t="s">
        <v>41</v>
      </c>
      <c r="V170" s="140">
        <v>0.364</v>
      </c>
      <c r="W170" s="140">
        <f>$V$170*$K$170</f>
        <v>0.17472</v>
      </c>
      <c r="X170" s="140">
        <v>0.00103</v>
      </c>
      <c r="Y170" s="140">
        <f>$X$170*$K$170</f>
        <v>0.0004944</v>
      </c>
      <c r="Z170" s="140">
        <v>0</v>
      </c>
      <c r="AA170" s="141">
        <f>$Z$170*$K$170</f>
        <v>0</v>
      </c>
      <c r="AR170" s="7" t="s">
        <v>167</v>
      </c>
      <c r="AT170" s="7" t="s">
        <v>163</v>
      </c>
      <c r="AU170" s="7" t="s">
        <v>106</v>
      </c>
      <c r="AY170" s="7" t="s">
        <v>161</v>
      </c>
      <c r="BE170" s="89">
        <f>IF($U$170="základní",$N$170,0)</f>
        <v>0</v>
      </c>
      <c r="BF170" s="89">
        <f>IF($U$170="snížená",$N$170,0)</f>
        <v>0</v>
      </c>
      <c r="BG170" s="89">
        <f>IF($U$170="zákl. přenesená",$N$170,0)</f>
        <v>0</v>
      </c>
      <c r="BH170" s="89">
        <f>IF($U$170="sníž. přenesená",$N$170,0)</f>
        <v>0</v>
      </c>
      <c r="BI170" s="89">
        <f>IF($U$170="nulová",$N$170,0)</f>
        <v>0</v>
      </c>
      <c r="BJ170" s="7" t="s">
        <v>16</v>
      </c>
      <c r="BK170" s="89">
        <f>ROUND($L$170*$K$170,2)</f>
        <v>0</v>
      </c>
      <c r="BL170" s="7" t="s">
        <v>167</v>
      </c>
    </row>
    <row r="171" spans="2:51" s="7" customFormat="1" ht="15.75" customHeight="1">
      <c r="B171" s="142"/>
      <c r="C171" s="143"/>
      <c r="D171" s="143"/>
      <c r="E171" s="143"/>
      <c r="F171" s="215" t="s">
        <v>226</v>
      </c>
      <c r="G171" s="216"/>
      <c r="H171" s="216"/>
      <c r="I171" s="216"/>
      <c r="J171" s="143"/>
      <c r="K171" s="144">
        <v>0.48</v>
      </c>
      <c r="L171" s="143"/>
      <c r="M171" s="143"/>
      <c r="N171" s="143"/>
      <c r="O171" s="143"/>
      <c r="P171" s="143"/>
      <c r="Q171" s="143"/>
      <c r="R171" s="145"/>
      <c r="T171" s="146"/>
      <c r="U171" s="143"/>
      <c r="V171" s="143"/>
      <c r="W171" s="143"/>
      <c r="X171" s="143"/>
      <c r="Y171" s="143"/>
      <c r="Z171" s="143"/>
      <c r="AA171" s="147"/>
      <c r="AT171" s="148" t="s">
        <v>169</v>
      </c>
      <c r="AU171" s="148" t="s">
        <v>106</v>
      </c>
      <c r="AV171" s="148" t="s">
        <v>106</v>
      </c>
      <c r="AW171" s="148" t="s">
        <v>114</v>
      </c>
      <c r="AX171" s="148" t="s">
        <v>16</v>
      </c>
      <c r="AY171" s="148" t="s">
        <v>161</v>
      </c>
    </row>
    <row r="172" spans="2:64" s="7" customFormat="1" ht="15.75" customHeight="1">
      <c r="B172" s="23"/>
      <c r="C172" s="135" t="s">
        <v>227</v>
      </c>
      <c r="D172" s="135" t="s">
        <v>163</v>
      </c>
      <c r="E172" s="136" t="s">
        <v>228</v>
      </c>
      <c r="F172" s="217" t="s">
        <v>229</v>
      </c>
      <c r="G172" s="213"/>
      <c r="H172" s="213"/>
      <c r="I172" s="213"/>
      <c r="J172" s="137" t="s">
        <v>214</v>
      </c>
      <c r="K172" s="138">
        <v>0.48</v>
      </c>
      <c r="L172" s="212">
        <v>0</v>
      </c>
      <c r="M172" s="213"/>
      <c r="N172" s="214">
        <f>ROUND($L$172*$K$172,2)</f>
        <v>0</v>
      </c>
      <c r="O172" s="213"/>
      <c r="P172" s="213"/>
      <c r="Q172" s="213"/>
      <c r="R172" s="25"/>
      <c r="T172" s="139"/>
      <c r="U172" s="31" t="s">
        <v>41</v>
      </c>
      <c r="V172" s="140">
        <v>0.201</v>
      </c>
      <c r="W172" s="140">
        <f>$V$172*$K$172</f>
        <v>0.09648</v>
      </c>
      <c r="X172" s="140">
        <v>0</v>
      </c>
      <c r="Y172" s="140">
        <f>$X$172*$K$172</f>
        <v>0</v>
      </c>
      <c r="Z172" s="140">
        <v>0</v>
      </c>
      <c r="AA172" s="141">
        <f>$Z$172*$K$172</f>
        <v>0</v>
      </c>
      <c r="AR172" s="7" t="s">
        <v>167</v>
      </c>
      <c r="AT172" s="7" t="s">
        <v>163</v>
      </c>
      <c r="AU172" s="7" t="s">
        <v>106</v>
      </c>
      <c r="AY172" s="7" t="s">
        <v>161</v>
      </c>
      <c r="BE172" s="89">
        <f>IF($U$172="základní",$N$172,0)</f>
        <v>0</v>
      </c>
      <c r="BF172" s="89">
        <f>IF($U$172="snížená",$N$172,0)</f>
        <v>0</v>
      </c>
      <c r="BG172" s="89">
        <f>IF($U$172="zákl. přenesená",$N$172,0)</f>
        <v>0</v>
      </c>
      <c r="BH172" s="89">
        <f>IF($U$172="sníž. přenesená",$N$172,0)</f>
        <v>0</v>
      </c>
      <c r="BI172" s="89">
        <f>IF($U$172="nulová",$N$172,0)</f>
        <v>0</v>
      </c>
      <c r="BJ172" s="7" t="s">
        <v>16</v>
      </c>
      <c r="BK172" s="89">
        <f>ROUND($L$172*$K$172,2)</f>
        <v>0</v>
      </c>
      <c r="BL172" s="7" t="s">
        <v>167</v>
      </c>
    </row>
    <row r="173" spans="2:63" s="124" customFormat="1" ht="30.75" customHeight="1">
      <c r="B173" s="125"/>
      <c r="C173" s="126"/>
      <c r="D173" s="134" t="s">
        <v>118</v>
      </c>
      <c r="E173" s="126"/>
      <c r="F173" s="126"/>
      <c r="G173" s="126"/>
      <c r="H173" s="126"/>
      <c r="I173" s="126"/>
      <c r="J173" s="126"/>
      <c r="K173" s="126"/>
      <c r="L173" s="126"/>
      <c r="M173" s="126"/>
      <c r="N173" s="206">
        <f>$BK$173</f>
        <v>0</v>
      </c>
      <c r="O173" s="207"/>
      <c r="P173" s="207"/>
      <c r="Q173" s="207"/>
      <c r="R173" s="128"/>
      <c r="T173" s="129"/>
      <c r="U173" s="126"/>
      <c r="V173" s="126"/>
      <c r="W173" s="130">
        <f>SUM($W$174:$W$204)</f>
        <v>152.66844999999998</v>
      </c>
      <c r="X173" s="126"/>
      <c r="Y173" s="130">
        <f>SUM($Y$174:$Y$204)</f>
        <v>37.4480728</v>
      </c>
      <c r="Z173" s="126"/>
      <c r="AA173" s="131">
        <f>SUM($AA$174:$AA$204)</f>
        <v>0</v>
      </c>
      <c r="AR173" s="132" t="s">
        <v>16</v>
      </c>
      <c r="AT173" s="132" t="s">
        <v>75</v>
      </c>
      <c r="AU173" s="132" t="s">
        <v>16</v>
      </c>
      <c r="AY173" s="132" t="s">
        <v>161</v>
      </c>
      <c r="BK173" s="133">
        <f>SUM($BK$174:$BK$204)</f>
        <v>0</v>
      </c>
    </row>
    <row r="174" spans="2:64" s="7" customFormat="1" ht="27" customHeight="1">
      <c r="B174" s="23"/>
      <c r="C174" s="135" t="s">
        <v>230</v>
      </c>
      <c r="D174" s="135" t="s">
        <v>163</v>
      </c>
      <c r="E174" s="136" t="s">
        <v>231</v>
      </c>
      <c r="F174" s="217" t="s">
        <v>232</v>
      </c>
      <c r="G174" s="213"/>
      <c r="H174" s="213"/>
      <c r="I174" s="213"/>
      <c r="J174" s="137" t="s">
        <v>166</v>
      </c>
      <c r="K174" s="138">
        <v>0.66</v>
      </c>
      <c r="L174" s="212">
        <v>0</v>
      </c>
      <c r="M174" s="213"/>
      <c r="N174" s="214">
        <f>ROUND($L$174*$K$174,2)</f>
        <v>0</v>
      </c>
      <c r="O174" s="213"/>
      <c r="P174" s="213"/>
      <c r="Q174" s="213"/>
      <c r="R174" s="25"/>
      <c r="T174" s="139"/>
      <c r="U174" s="31" t="s">
        <v>41</v>
      </c>
      <c r="V174" s="140">
        <v>4.794</v>
      </c>
      <c r="W174" s="140">
        <f>$V$174*$K$174</f>
        <v>3.16404</v>
      </c>
      <c r="X174" s="140">
        <v>1.7545</v>
      </c>
      <c r="Y174" s="140">
        <f>$X$174*$K$174</f>
        <v>1.15797</v>
      </c>
      <c r="Z174" s="140">
        <v>0</v>
      </c>
      <c r="AA174" s="141">
        <f>$Z$174*$K$174</f>
        <v>0</v>
      </c>
      <c r="AR174" s="7" t="s">
        <v>167</v>
      </c>
      <c r="AT174" s="7" t="s">
        <v>163</v>
      </c>
      <c r="AU174" s="7" t="s">
        <v>106</v>
      </c>
      <c r="AY174" s="7" t="s">
        <v>161</v>
      </c>
      <c r="BE174" s="89">
        <f>IF($U$174="základní",$N$174,0)</f>
        <v>0</v>
      </c>
      <c r="BF174" s="89">
        <f>IF($U$174="snížená",$N$174,0)</f>
        <v>0</v>
      </c>
      <c r="BG174" s="89">
        <f>IF($U$174="zákl. přenesená",$N$174,0)</f>
        <v>0</v>
      </c>
      <c r="BH174" s="89">
        <f>IF($U$174="sníž. přenesená",$N$174,0)</f>
        <v>0</v>
      </c>
      <c r="BI174" s="89">
        <f>IF($U$174="nulová",$N$174,0)</f>
        <v>0</v>
      </c>
      <c r="BJ174" s="7" t="s">
        <v>16</v>
      </c>
      <c r="BK174" s="89">
        <f>ROUND($L$174*$K$174,2)</f>
        <v>0</v>
      </c>
      <c r="BL174" s="7" t="s">
        <v>167</v>
      </c>
    </row>
    <row r="175" spans="2:51" s="7" customFormat="1" ht="15.75" customHeight="1">
      <c r="B175" s="142"/>
      <c r="C175" s="143"/>
      <c r="D175" s="143"/>
      <c r="E175" s="143"/>
      <c r="F175" s="215" t="s">
        <v>233</v>
      </c>
      <c r="G175" s="216"/>
      <c r="H175" s="216"/>
      <c r="I175" s="216"/>
      <c r="J175" s="143"/>
      <c r="K175" s="144">
        <v>0.66</v>
      </c>
      <c r="L175" s="143"/>
      <c r="M175" s="143"/>
      <c r="N175" s="143"/>
      <c r="O175" s="143"/>
      <c r="P175" s="143"/>
      <c r="Q175" s="143"/>
      <c r="R175" s="145"/>
      <c r="T175" s="146"/>
      <c r="U175" s="143"/>
      <c r="V175" s="143"/>
      <c r="W175" s="143"/>
      <c r="X175" s="143"/>
      <c r="Y175" s="143"/>
      <c r="Z175" s="143"/>
      <c r="AA175" s="147"/>
      <c r="AT175" s="148" t="s">
        <v>169</v>
      </c>
      <c r="AU175" s="148" t="s">
        <v>106</v>
      </c>
      <c r="AV175" s="148" t="s">
        <v>106</v>
      </c>
      <c r="AW175" s="148" t="s">
        <v>114</v>
      </c>
      <c r="AX175" s="148" t="s">
        <v>16</v>
      </c>
      <c r="AY175" s="148" t="s">
        <v>161</v>
      </c>
    </row>
    <row r="176" spans="2:64" s="7" customFormat="1" ht="39" customHeight="1">
      <c r="B176" s="23"/>
      <c r="C176" s="135" t="s">
        <v>234</v>
      </c>
      <c r="D176" s="135" t="s">
        <v>163</v>
      </c>
      <c r="E176" s="136" t="s">
        <v>235</v>
      </c>
      <c r="F176" s="217" t="s">
        <v>236</v>
      </c>
      <c r="G176" s="213"/>
      <c r="H176" s="213"/>
      <c r="I176" s="213"/>
      <c r="J176" s="137" t="s">
        <v>166</v>
      </c>
      <c r="K176" s="138">
        <v>8.72</v>
      </c>
      <c r="L176" s="212">
        <v>0</v>
      </c>
      <c r="M176" s="213"/>
      <c r="N176" s="214">
        <f>ROUND($L$176*$K$176,2)</f>
        <v>0</v>
      </c>
      <c r="O176" s="213"/>
      <c r="P176" s="213"/>
      <c r="Q176" s="213"/>
      <c r="R176" s="25"/>
      <c r="T176" s="139"/>
      <c r="U176" s="31" t="s">
        <v>41</v>
      </c>
      <c r="V176" s="140">
        <v>3.842</v>
      </c>
      <c r="W176" s="140">
        <f>$V$176*$K$176</f>
        <v>33.50224</v>
      </c>
      <c r="X176" s="140">
        <v>0.95</v>
      </c>
      <c r="Y176" s="140">
        <f>$X$176*$K$176</f>
        <v>8.284</v>
      </c>
      <c r="Z176" s="140">
        <v>0</v>
      </c>
      <c r="AA176" s="141">
        <f>$Z$176*$K$176</f>
        <v>0</v>
      </c>
      <c r="AR176" s="7" t="s">
        <v>167</v>
      </c>
      <c r="AT176" s="7" t="s">
        <v>163</v>
      </c>
      <c r="AU176" s="7" t="s">
        <v>106</v>
      </c>
      <c r="AY176" s="7" t="s">
        <v>161</v>
      </c>
      <c r="BE176" s="89">
        <f>IF($U$176="základní",$N$176,0)</f>
        <v>0</v>
      </c>
      <c r="BF176" s="89">
        <f>IF($U$176="snížená",$N$176,0)</f>
        <v>0</v>
      </c>
      <c r="BG176" s="89">
        <f>IF($U$176="zákl. přenesená",$N$176,0)</f>
        <v>0</v>
      </c>
      <c r="BH176" s="89">
        <f>IF($U$176="sníž. přenesená",$N$176,0)</f>
        <v>0</v>
      </c>
      <c r="BI176" s="89">
        <f>IF($U$176="nulová",$N$176,0)</f>
        <v>0</v>
      </c>
      <c r="BJ176" s="7" t="s">
        <v>16</v>
      </c>
      <c r="BK176" s="89">
        <f>ROUND($L$176*$K$176,2)</f>
        <v>0</v>
      </c>
      <c r="BL176" s="7" t="s">
        <v>167</v>
      </c>
    </row>
    <row r="177" spans="2:51" s="7" customFormat="1" ht="15.75" customHeight="1">
      <c r="B177" s="142"/>
      <c r="C177" s="143"/>
      <c r="D177" s="143"/>
      <c r="E177" s="143"/>
      <c r="F177" s="215" t="s">
        <v>237</v>
      </c>
      <c r="G177" s="216"/>
      <c r="H177" s="216"/>
      <c r="I177" s="216"/>
      <c r="J177" s="143"/>
      <c r="K177" s="144">
        <v>2.078</v>
      </c>
      <c r="L177" s="143"/>
      <c r="M177" s="143"/>
      <c r="N177" s="143"/>
      <c r="O177" s="143"/>
      <c r="P177" s="143"/>
      <c r="Q177" s="143"/>
      <c r="R177" s="145"/>
      <c r="T177" s="146"/>
      <c r="U177" s="143"/>
      <c r="V177" s="143"/>
      <c r="W177" s="143"/>
      <c r="X177" s="143"/>
      <c r="Y177" s="143"/>
      <c r="Z177" s="143"/>
      <c r="AA177" s="147"/>
      <c r="AT177" s="148" t="s">
        <v>169</v>
      </c>
      <c r="AU177" s="148" t="s">
        <v>106</v>
      </c>
      <c r="AV177" s="148" t="s">
        <v>106</v>
      </c>
      <c r="AW177" s="148" t="s">
        <v>114</v>
      </c>
      <c r="AX177" s="148" t="s">
        <v>76</v>
      </c>
      <c r="AY177" s="148" t="s">
        <v>161</v>
      </c>
    </row>
    <row r="178" spans="2:51" s="7" customFormat="1" ht="15.75" customHeight="1">
      <c r="B178" s="142"/>
      <c r="C178" s="143"/>
      <c r="D178" s="143"/>
      <c r="E178" s="143"/>
      <c r="F178" s="215" t="s">
        <v>238</v>
      </c>
      <c r="G178" s="216"/>
      <c r="H178" s="216"/>
      <c r="I178" s="216"/>
      <c r="J178" s="143"/>
      <c r="K178" s="144">
        <v>1.154</v>
      </c>
      <c r="L178" s="143"/>
      <c r="M178" s="143"/>
      <c r="N178" s="143"/>
      <c r="O178" s="143"/>
      <c r="P178" s="143"/>
      <c r="Q178" s="143"/>
      <c r="R178" s="145"/>
      <c r="T178" s="146"/>
      <c r="U178" s="143"/>
      <c r="V178" s="143"/>
      <c r="W178" s="143"/>
      <c r="X178" s="143"/>
      <c r="Y178" s="143"/>
      <c r="Z178" s="143"/>
      <c r="AA178" s="147"/>
      <c r="AT178" s="148" t="s">
        <v>169</v>
      </c>
      <c r="AU178" s="148" t="s">
        <v>106</v>
      </c>
      <c r="AV178" s="148" t="s">
        <v>106</v>
      </c>
      <c r="AW178" s="148" t="s">
        <v>114</v>
      </c>
      <c r="AX178" s="148" t="s">
        <v>76</v>
      </c>
      <c r="AY178" s="148" t="s">
        <v>161</v>
      </c>
    </row>
    <row r="179" spans="2:51" s="7" customFormat="1" ht="15.75" customHeight="1">
      <c r="B179" s="142"/>
      <c r="C179" s="143"/>
      <c r="D179" s="143"/>
      <c r="E179" s="143"/>
      <c r="F179" s="215" t="s">
        <v>239</v>
      </c>
      <c r="G179" s="216"/>
      <c r="H179" s="216"/>
      <c r="I179" s="216"/>
      <c r="J179" s="143"/>
      <c r="K179" s="144">
        <v>1.015</v>
      </c>
      <c r="L179" s="143"/>
      <c r="M179" s="143"/>
      <c r="N179" s="143"/>
      <c r="O179" s="143"/>
      <c r="P179" s="143"/>
      <c r="Q179" s="143"/>
      <c r="R179" s="145"/>
      <c r="T179" s="146"/>
      <c r="U179" s="143"/>
      <c r="V179" s="143"/>
      <c r="W179" s="143"/>
      <c r="X179" s="143"/>
      <c r="Y179" s="143"/>
      <c r="Z179" s="143"/>
      <c r="AA179" s="147"/>
      <c r="AT179" s="148" t="s">
        <v>169</v>
      </c>
      <c r="AU179" s="148" t="s">
        <v>106</v>
      </c>
      <c r="AV179" s="148" t="s">
        <v>106</v>
      </c>
      <c r="AW179" s="148" t="s">
        <v>114</v>
      </c>
      <c r="AX179" s="148" t="s">
        <v>76</v>
      </c>
      <c r="AY179" s="148" t="s">
        <v>161</v>
      </c>
    </row>
    <row r="180" spans="2:51" s="7" customFormat="1" ht="27" customHeight="1">
      <c r="B180" s="142"/>
      <c r="C180" s="143"/>
      <c r="D180" s="143"/>
      <c r="E180" s="143"/>
      <c r="F180" s="215" t="s">
        <v>240</v>
      </c>
      <c r="G180" s="216"/>
      <c r="H180" s="216"/>
      <c r="I180" s="216"/>
      <c r="J180" s="143"/>
      <c r="K180" s="144">
        <v>4.473</v>
      </c>
      <c r="L180" s="143"/>
      <c r="M180" s="143"/>
      <c r="N180" s="143"/>
      <c r="O180" s="143"/>
      <c r="P180" s="143"/>
      <c r="Q180" s="143"/>
      <c r="R180" s="145"/>
      <c r="T180" s="146"/>
      <c r="U180" s="143"/>
      <c r="V180" s="143"/>
      <c r="W180" s="143"/>
      <c r="X180" s="143"/>
      <c r="Y180" s="143"/>
      <c r="Z180" s="143"/>
      <c r="AA180" s="147"/>
      <c r="AT180" s="148" t="s">
        <v>169</v>
      </c>
      <c r="AU180" s="148" t="s">
        <v>106</v>
      </c>
      <c r="AV180" s="148" t="s">
        <v>106</v>
      </c>
      <c r="AW180" s="148" t="s">
        <v>114</v>
      </c>
      <c r="AX180" s="148" t="s">
        <v>76</v>
      </c>
      <c r="AY180" s="148" t="s">
        <v>161</v>
      </c>
    </row>
    <row r="181" spans="2:51" s="7" customFormat="1" ht="15.75" customHeight="1">
      <c r="B181" s="149"/>
      <c r="C181" s="150"/>
      <c r="D181" s="150"/>
      <c r="E181" s="150"/>
      <c r="F181" s="223" t="s">
        <v>178</v>
      </c>
      <c r="G181" s="224"/>
      <c r="H181" s="224"/>
      <c r="I181" s="224"/>
      <c r="J181" s="150"/>
      <c r="K181" s="151">
        <v>8.72</v>
      </c>
      <c r="L181" s="150"/>
      <c r="M181" s="150"/>
      <c r="N181" s="150"/>
      <c r="O181" s="150"/>
      <c r="P181" s="150"/>
      <c r="Q181" s="150"/>
      <c r="R181" s="152"/>
      <c r="T181" s="153"/>
      <c r="U181" s="150"/>
      <c r="V181" s="150"/>
      <c r="W181" s="150"/>
      <c r="X181" s="150"/>
      <c r="Y181" s="150"/>
      <c r="Z181" s="150"/>
      <c r="AA181" s="154"/>
      <c r="AT181" s="155" t="s">
        <v>169</v>
      </c>
      <c r="AU181" s="155" t="s">
        <v>106</v>
      </c>
      <c r="AV181" s="155" t="s">
        <v>167</v>
      </c>
      <c r="AW181" s="155" t="s">
        <v>114</v>
      </c>
      <c r="AX181" s="155" t="s">
        <v>16</v>
      </c>
      <c r="AY181" s="155" t="s">
        <v>161</v>
      </c>
    </row>
    <row r="182" spans="2:64" s="7" customFormat="1" ht="39" customHeight="1">
      <c r="B182" s="23"/>
      <c r="C182" s="135" t="s">
        <v>241</v>
      </c>
      <c r="D182" s="135" t="s">
        <v>163</v>
      </c>
      <c r="E182" s="136" t="s">
        <v>242</v>
      </c>
      <c r="F182" s="217" t="s">
        <v>243</v>
      </c>
      <c r="G182" s="213"/>
      <c r="H182" s="213"/>
      <c r="I182" s="213"/>
      <c r="J182" s="137" t="s">
        <v>214</v>
      </c>
      <c r="K182" s="138">
        <v>24.023</v>
      </c>
      <c r="L182" s="212">
        <v>0</v>
      </c>
      <c r="M182" s="213"/>
      <c r="N182" s="214">
        <f>ROUND($L$182*$K$182,2)</f>
        <v>0</v>
      </c>
      <c r="O182" s="213"/>
      <c r="P182" s="213"/>
      <c r="Q182" s="213"/>
      <c r="R182" s="25"/>
      <c r="T182" s="139"/>
      <c r="U182" s="31" t="s">
        <v>41</v>
      </c>
      <c r="V182" s="140">
        <v>0.69</v>
      </c>
      <c r="W182" s="140">
        <f>$V$182*$K$182</f>
        <v>16.57587</v>
      </c>
      <c r="X182" s="140">
        <v>0.2209</v>
      </c>
      <c r="Y182" s="140">
        <f>$X$182*$K$182</f>
        <v>5.3066807</v>
      </c>
      <c r="Z182" s="140">
        <v>0</v>
      </c>
      <c r="AA182" s="141">
        <f>$Z$182*$K$182</f>
        <v>0</v>
      </c>
      <c r="AR182" s="7" t="s">
        <v>167</v>
      </c>
      <c r="AT182" s="7" t="s">
        <v>163</v>
      </c>
      <c r="AU182" s="7" t="s">
        <v>106</v>
      </c>
      <c r="AY182" s="7" t="s">
        <v>161</v>
      </c>
      <c r="BE182" s="89">
        <f>IF($U$182="základní",$N$182,0)</f>
        <v>0</v>
      </c>
      <c r="BF182" s="89">
        <f>IF($U$182="snížená",$N$182,0)</f>
        <v>0</v>
      </c>
      <c r="BG182" s="89">
        <f>IF($U$182="zákl. přenesená",$N$182,0)</f>
        <v>0</v>
      </c>
      <c r="BH182" s="89">
        <f>IF($U$182="sníž. přenesená",$N$182,0)</f>
        <v>0</v>
      </c>
      <c r="BI182" s="89">
        <f>IF($U$182="nulová",$N$182,0)</f>
        <v>0</v>
      </c>
      <c r="BJ182" s="7" t="s">
        <v>16</v>
      </c>
      <c r="BK182" s="89">
        <f>ROUND($L$182*$K$182,2)</f>
        <v>0</v>
      </c>
      <c r="BL182" s="7" t="s">
        <v>167</v>
      </c>
    </row>
    <row r="183" spans="2:51" s="7" customFormat="1" ht="15.75" customHeight="1">
      <c r="B183" s="142"/>
      <c r="C183" s="143"/>
      <c r="D183" s="143"/>
      <c r="E183" s="143"/>
      <c r="F183" s="215" t="s">
        <v>244</v>
      </c>
      <c r="G183" s="216"/>
      <c r="H183" s="216"/>
      <c r="I183" s="216"/>
      <c r="J183" s="143"/>
      <c r="K183" s="144">
        <v>24.023</v>
      </c>
      <c r="L183" s="143"/>
      <c r="M183" s="143"/>
      <c r="N183" s="143"/>
      <c r="O183" s="143"/>
      <c r="P183" s="143"/>
      <c r="Q183" s="143"/>
      <c r="R183" s="145"/>
      <c r="T183" s="146"/>
      <c r="U183" s="143"/>
      <c r="V183" s="143"/>
      <c r="W183" s="143"/>
      <c r="X183" s="143"/>
      <c r="Y183" s="143"/>
      <c r="Z183" s="143"/>
      <c r="AA183" s="147"/>
      <c r="AT183" s="148" t="s">
        <v>169</v>
      </c>
      <c r="AU183" s="148" t="s">
        <v>106</v>
      </c>
      <c r="AV183" s="148" t="s">
        <v>106</v>
      </c>
      <c r="AW183" s="148" t="s">
        <v>114</v>
      </c>
      <c r="AX183" s="148" t="s">
        <v>16</v>
      </c>
      <c r="AY183" s="148" t="s">
        <v>161</v>
      </c>
    </row>
    <row r="184" spans="2:64" s="7" customFormat="1" ht="39" customHeight="1">
      <c r="B184" s="23"/>
      <c r="C184" s="135" t="s">
        <v>245</v>
      </c>
      <c r="D184" s="135" t="s">
        <v>163</v>
      </c>
      <c r="E184" s="136" t="s">
        <v>246</v>
      </c>
      <c r="F184" s="217" t="s">
        <v>247</v>
      </c>
      <c r="G184" s="213"/>
      <c r="H184" s="213"/>
      <c r="I184" s="213"/>
      <c r="J184" s="137" t="s">
        <v>214</v>
      </c>
      <c r="K184" s="138">
        <v>70.55</v>
      </c>
      <c r="L184" s="212">
        <v>0</v>
      </c>
      <c r="M184" s="213"/>
      <c r="N184" s="214">
        <f>ROUND($L$184*$K$184,2)</f>
        <v>0</v>
      </c>
      <c r="O184" s="213"/>
      <c r="P184" s="213"/>
      <c r="Q184" s="213"/>
      <c r="R184" s="25"/>
      <c r="T184" s="139"/>
      <c r="U184" s="31" t="s">
        <v>41</v>
      </c>
      <c r="V184" s="140">
        <v>0.83</v>
      </c>
      <c r="W184" s="140">
        <f>$V$184*$K$184</f>
        <v>58.55649999999999</v>
      </c>
      <c r="X184" s="140">
        <v>0.26119</v>
      </c>
      <c r="Y184" s="140">
        <f>$X$184*$K$184</f>
        <v>18.426954499999997</v>
      </c>
      <c r="Z184" s="140">
        <v>0</v>
      </c>
      <c r="AA184" s="141">
        <f>$Z$184*$K$184</f>
        <v>0</v>
      </c>
      <c r="AR184" s="7" t="s">
        <v>167</v>
      </c>
      <c r="AT184" s="7" t="s">
        <v>163</v>
      </c>
      <c r="AU184" s="7" t="s">
        <v>106</v>
      </c>
      <c r="AY184" s="7" t="s">
        <v>161</v>
      </c>
      <c r="BE184" s="89">
        <f>IF($U$184="základní",$N$184,0)</f>
        <v>0</v>
      </c>
      <c r="BF184" s="89">
        <f>IF($U$184="snížená",$N$184,0)</f>
        <v>0</v>
      </c>
      <c r="BG184" s="89">
        <f>IF($U$184="zákl. přenesená",$N$184,0)</f>
        <v>0</v>
      </c>
      <c r="BH184" s="89">
        <f>IF($U$184="sníž. přenesená",$N$184,0)</f>
        <v>0</v>
      </c>
      <c r="BI184" s="89">
        <f>IF($U$184="nulová",$N$184,0)</f>
        <v>0</v>
      </c>
      <c r="BJ184" s="7" t="s">
        <v>16</v>
      </c>
      <c r="BK184" s="89">
        <f>ROUND($L$184*$K$184,2)</f>
        <v>0</v>
      </c>
      <c r="BL184" s="7" t="s">
        <v>167</v>
      </c>
    </row>
    <row r="185" spans="2:51" s="7" customFormat="1" ht="15.75" customHeight="1">
      <c r="B185" s="142"/>
      <c r="C185" s="143"/>
      <c r="D185" s="143"/>
      <c r="E185" s="143"/>
      <c r="F185" s="215" t="s">
        <v>248</v>
      </c>
      <c r="G185" s="216"/>
      <c r="H185" s="216"/>
      <c r="I185" s="216"/>
      <c r="J185" s="143"/>
      <c r="K185" s="144">
        <v>29.05</v>
      </c>
      <c r="L185" s="143"/>
      <c r="M185" s="143"/>
      <c r="N185" s="143"/>
      <c r="O185" s="143"/>
      <c r="P185" s="143"/>
      <c r="Q185" s="143"/>
      <c r="R185" s="145"/>
      <c r="T185" s="146"/>
      <c r="U185" s="143"/>
      <c r="V185" s="143"/>
      <c r="W185" s="143"/>
      <c r="X185" s="143"/>
      <c r="Y185" s="143"/>
      <c r="Z185" s="143"/>
      <c r="AA185" s="147"/>
      <c r="AT185" s="148" t="s">
        <v>169</v>
      </c>
      <c r="AU185" s="148" t="s">
        <v>106</v>
      </c>
      <c r="AV185" s="148" t="s">
        <v>106</v>
      </c>
      <c r="AW185" s="148" t="s">
        <v>114</v>
      </c>
      <c r="AX185" s="148" t="s">
        <v>76</v>
      </c>
      <c r="AY185" s="148" t="s">
        <v>161</v>
      </c>
    </row>
    <row r="186" spans="2:51" s="7" customFormat="1" ht="15.75" customHeight="1">
      <c r="B186" s="142"/>
      <c r="C186" s="143"/>
      <c r="D186" s="143"/>
      <c r="E186" s="143"/>
      <c r="F186" s="215" t="s">
        <v>249</v>
      </c>
      <c r="G186" s="216"/>
      <c r="H186" s="216"/>
      <c r="I186" s="216"/>
      <c r="J186" s="143"/>
      <c r="K186" s="144">
        <v>19</v>
      </c>
      <c r="L186" s="143"/>
      <c r="M186" s="143"/>
      <c r="N186" s="143"/>
      <c r="O186" s="143"/>
      <c r="P186" s="143"/>
      <c r="Q186" s="143"/>
      <c r="R186" s="145"/>
      <c r="T186" s="146"/>
      <c r="U186" s="143"/>
      <c r="V186" s="143"/>
      <c r="W186" s="143"/>
      <c r="X186" s="143"/>
      <c r="Y186" s="143"/>
      <c r="Z186" s="143"/>
      <c r="AA186" s="147"/>
      <c r="AT186" s="148" t="s">
        <v>169</v>
      </c>
      <c r="AU186" s="148" t="s">
        <v>106</v>
      </c>
      <c r="AV186" s="148" t="s">
        <v>106</v>
      </c>
      <c r="AW186" s="148" t="s">
        <v>114</v>
      </c>
      <c r="AX186" s="148" t="s">
        <v>76</v>
      </c>
      <c r="AY186" s="148" t="s">
        <v>161</v>
      </c>
    </row>
    <row r="187" spans="2:51" s="7" customFormat="1" ht="15.75" customHeight="1">
      <c r="B187" s="142"/>
      <c r="C187" s="143"/>
      <c r="D187" s="143"/>
      <c r="E187" s="143"/>
      <c r="F187" s="215" t="s">
        <v>250</v>
      </c>
      <c r="G187" s="216"/>
      <c r="H187" s="216"/>
      <c r="I187" s="216"/>
      <c r="J187" s="143"/>
      <c r="K187" s="144">
        <v>22.5</v>
      </c>
      <c r="L187" s="143"/>
      <c r="M187" s="143"/>
      <c r="N187" s="143"/>
      <c r="O187" s="143"/>
      <c r="P187" s="143"/>
      <c r="Q187" s="143"/>
      <c r="R187" s="145"/>
      <c r="T187" s="146"/>
      <c r="U187" s="143"/>
      <c r="V187" s="143"/>
      <c r="W187" s="143"/>
      <c r="X187" s="143"/>
      <c r="Y187" s="143"/>
      <c r="Z187" s="143"/>
      <c r="AA187" s="147"/>
      <c r="AT187" s="148" t="s">
        <v>169</v>
      </c>
      <c r="AU187" s="148" t="s">
        <v>106</v>
      </c>
      <c r="AV187" s="148" t="s">
        <v>106</v>
      </c>
      <c r="AW187" s="148" t="s">
        <v>114</v>
      </c>
      <c r="AX187" s="148" t="s">
        <v>76</v>
      </c>
      <c r="AY187" s="148" t="s">
        <v>161</v>
      </c>
    </row>
    <row r="188" spans="2:51" s="7" customFormat="1" ht="15.75" customHeight="1">
      <c r="B188" s="149"/>
      <c r="C188" s="150"/>
      <c r="D188" s="150"/>
      <c r="E188" s="150"/>
      <c r="F188" s="223" t="s">
        <v>178</v>
      </c>
      <c r="G188" s="224"/>
      <c r="H188" s="224"/>
      <c r="I188" s="224"/>
      <c r="J188" s="150"/>
      <c r="K188" s="151">
        <v>70.55</v>
      </c>
      <c r="L188" s="150"/>
      <c r="M188" s="150"/>
      <c r="N188" s="150"/>
      <c r="O188" s="150"/>
      <c r="P188" s="150"/>
      <c r="Q188" s="150"/>
      <c r="R188" s="152"/>
      <c r="T188" s="153"/>
      <c r="U188" s="150"/>
      <c r="V188" s="150"/>
      <c r="W188" s="150"/>
      <c r="X188" s="150"/>
      <c r="Y188" s="150"/>
      <c r="Z188" s="150"/>
      <c r="AA188" s="154"/>
      <c r="AT188" s="155" t="s">
        <v>169</v>
      </c>
      <c r="AU188" s="155" t="s">
        <v>106</v>
      </c>
      <c r="AV188" s="155" t="s">
        <v>167</v>
      </c>
      <c r="AW188" s="155" t="s">
        <v>114</v>
      </c>
      <c r="AX188" s="155" t="s">
        <v>16</v>
      </c>
      <c r="AY188" s="155" t="s">
        <v>161</v>
      </c>
    </row>
    <row r="189" spans="2:64" s="7" customFormat="1" ht="27" customHeight="1">
      <c r="B189" s="23"/>
      <c r="C189" s="135" t="s">
        <v>251</v>
      </c>
      <c r="D189" s="135" t="s">
        <v>163</v>
      </c>
      <c r="E189" s="136" t="s">
        <v>252</v>
      </c>
      <c r="F189" s="217" t="s">
        <v>253</v>
      </c>
      <c r="G189" s="213"/>
      <c r="H189" s="213"/>
      <c r="I189" s="213"/>
      <c r="J189" s="137" t="s">
        <v>254</v>
      </c>
      <c r="K189" s="138">
        <v>4</v>
      </c>
      <c r="L189" s="212">
        <v>0</v>
      </c>
      <c r="M189" s="213"/>
      <c r="N189" s="214">
        <f>ROUND($L$189*$K$189,2)</f>
        <v>0</v>
      </c>
      <c r="O189" s="213"/>
      <c r="P189" s="213"/>
      <c r="Q189" s="213"/>
      <c r="R189" s="25"/>
      <c r="T189" s="139"/>
      <c r="U189" s="31" t="s">
        <v>41</v>
      </c>
      <c r="V189" s="140">
        <v>0.715</v>
      </c>
      <c r="W189" s="140">
        <f>$V$189*$K$189</f>
        <v>2.86</v>
      </c>
      <c r="X189" s="140">
        <v>0.02588</v>
      </c>
      <c r="Y189" s="140">
        <f>$X$189*$K$189</f>
        <v>0.10352</v>
      </c>
      <c r="Z189" s="140">
        <v>0</v>
      </c>
      <c r="AA189" s="141">
        <f>$Z$189*$K$189</f>
        <v>0</v>
      </c>
      <c r="AR189" s="7" t="s">
        <v>167</v>
      </c>
      <c r="AT189" s="7" t="s">
        <v>163</v>
      </c>
      <c r="AU189" s="7" t="s">
        <v>106</v>
      </c>
      <c r="AY189" s="7" t="s">
        <v>161</v>
      </c>
      <c r="BE189" s="89">
        <f>IF($U$189="základní",$N$189,0)</f>
        <v>0</v>
      </c>
      <c r="BF189" s="89">
        <f>IF($U$189="snížená",$N$189,0)</f>
        <v>0</v>
      </c>
      <c r="BG189" s="89">
        <f>IF($U$189="zákl. přenesená",$N$189,0)</f>
        <v>0</v>
      </c>
      <c r="BH189" s="89">
        <f>IF($U$189="sníž. přenesená",$N$189,0)</f>
        <v>0</v>
      </c>
      <c r="BI189" s="89">
        <f>IF($U$189="nulová",$N$189,0)</f>
        <v>0</v>
      </c>
      <c r="BJ189" s="7" t="s">
        <v>16</v>
      </c>
      <c r="BK189" s="89">
        <f>ROUND($L$189*$K$189,2)</f>
        <v>0</v>
      </c>
      <c r="BL189" s="7" t="s">
        <v>167</v>
      </c>
    </row>
    <row r="190" spans="2:64" s="7" customFormat="1" ht="15.75" customHeight="1">
      <c r="B190" s="23"/>
      <c r="C190" s="156" t="s">
        <v>255</v>
      </c>
      <c r="D190" s="156" t="s">
        <v>201</v>
      </c>
      <c r="E190" s="157" t="s">
        <v>256</v>
      </c>
      <c r="F190" s="219" t="s">
        <v>257</v>
      </c>
      <c r="G190" s="220"/>
      <c r="H190" s="220"/>
      <c r="I190" s="220"/>
      <c r="J190" s="158" t="s">
        <v>254</v>
      </c>
      <c r="K190" s="159">
        <v>4</v>
      </c>
      <c r="L190" s="221">
        <v>0</v>
      </c>
      <c r="M190" s="220"/>
      <c r="N190" s="222">
        <f>ROUND($L$190*$K$190,2)</f>
        <v>0</v>
      </c>
      <c r="O190" s="213"/>
      <c r="P190" s="213"/>
      <c r="Q190" s="213"/>
      <c r="R190" s="25"/>
      <c r="T190" s="139"/>
      <c r="U190" s="31" t="s">
        <v>41</v>
      </c>
      <c r="V190" s="140">
        <v>0</v>
      </c>
      <c r="W190" s="140">
        <f>$V$190*$K$190</f>
        <v>0</v>
      </c>
      <c r="X190" s="140">
        <v>0.073</v>
      </c>
      <c r="Y190" s="140">
        <f>$X$190*$K$190</f>
        <v>0.292</v>
      </c>
      <c r="Z190" s="140">
        <v>0</v>
      </c>
      <c r="AA190" s="141">
        <f>$Z$190*$K$190</f>
        <v>0</v>
      </c>
      <c r="AR190" s="7" t="s">
        <v>204</v>
      </c>
      <c r="AT190" s="7" t="s">
        <v>201</v>
      </c>
      <c r="AU190" s="7" t="s">
        <v>106</v>
      </c>
      <c r="AY190" s="7" t="s">
        <v>161</v>
      </c>
      <c r="BE190" s="89">
        <f>IF($U$190="základní",$N$190,0)</f>
        <v>0</v>
      </c>
      <c r="BF190" s="89">
        <f>IF($U$190="snížená",$N$190,0)</f>
        <v>0</v>
      </c>
      <c r="BG190" s="89">
        <f>IF($U$190="zákl. přenesená",$N$190,0)</f>
        <v>0</v>
      </c>
      <c r="BH190" s="89">
        <f>IF($U$190="sníž. přenesená",$N$190,0)</f>
        <v>0</v>
      </c>
      <c r="BI190" s="89">
        <f>IF($U$190="nulová",$N$190,0)</f>
        <v>0</v>
      </c>
      <c r="BJ190" s="7" t="s">
        <v>16</v>
      </c>
      <c r="BK190" s="89">
        <f>ROUND($L$190*$K$190,2)</f>
        <v>0</v>
      </c>
      <c r="BL190" s="7" t="s">
        <v>167</v>
      </c>
    </row>
    <row r="191" spans="2:51" s="7" customFormat="1" ht="15.75" customHeight="1">
      <c r="B191" s="142"/>
      <c r="C191" s="143"/>
      <c r="D191" s="143"/>
      <c r="E191" s="143"/>
      <c r="F191" s="215" t="s">
        <v>167</v>
      </c>
      <c r="G191" s="216"/>
      <c r="H191" s="216"/>
      <c r="I191" s="216"/>
      <c r="J191" s="143"/>
      <c r="K191" s="144">
        <v>4</v>
      </c>
      <c r="L191" s="143"/>
      <c r="M191" s="143"/>
      <c r="N191" s="143"/>
      <c r="O191" s="143"/>
      <c r="P191" s="143"/>
      <c r="Q191" s="143"/>
      <c r="R191" s="145"/>
      <c r="T191" s="146"/>
      <c r="U191" s="143"/>
      <c r="V191" s="143"/>
      <c r="W191" s="143"/>
      <c r="X191" s="143"/>
      <c r="Y191" s="143"/>
      <c r="Z191" s="143"/>
      <c r="AA191" s="147"/>
      <c r="AT191" s="148" t="s">
        <v>169</v>
      </c>
      <c r="AU191" s="148" t="s">
        <v>106</v>
      </c>
      <c r="AV191" s="148" t="s">
        <v>106</v>
      </c>
      <c r="AW191" s="148" t="s">
        <v>114</v>
      </c>
      <c r="AX191" s="148" t="s">
        <v>16</v>
      </c>
      <c r="AY191" s="148" t="s">
        <v>161</v>
      </c>
    </row>
    <row r="192" spans="2:64" s="7" customFormat="1" ht="15.75" customHeight="1">
      <c r="B192" s="23"/>
      <c r="C192" s="135" t="s">
        <v>258</v>
      </c>
      <c r="D192" s="135" t="s">
        <v>163</v>
      </c>
      <c r="E192" s="136" t="s">
        <v>259</v>
      </c>
      <c r="F192" s="217" t="s">
        <v>260</v>
      </c>
      <c r="G192" s="213"/>
      <c r="H192" s="213"/>
      <c r="I192" s="213"/>
      <c r="J192" s="137" t="s">
        <v>166</v>
      </c>
      <c r="K192" s="138">
        <v>0.632</v>
      </c>
      <c r="L192" s="212">
        <v>0</v>
      </c>
      <c r="M192" s="213"/>
      <c r="N192" s="214">
        <f>ROUND($L$192*$K$192,2)</f>
        <v>0</v>
      </c>
      <c r="O192" s="213"/>
      <c r="P192" s="213"/>
      <c r="Q192" s="213"/>
      <c r="R192" s="25"/>
      <c r="T192" s="139"/>
      <c r="U192" s="31" t="s">
        <v>41</v>
      </c>
      <c r="V192" s="140">
        <v>6.77</v>
      </c>
      <c r="W192" s="140">
        <f>$V$192*$K$192</f>
        <v>4.278639999999999</v>
      </c>
      <c r="X192" s="140">
        <v>1.84872</v>
      </c>
      <c r="Y192" s="140">
        <f>$X$192*$K$192</f>
        <v>1.16839104</v>
      </c>
      <c r="Z192" s="140">
        <v>0</v>
      </c>
      <c r="AA192" s="141">
        <f>$Z$192*$K$192</f>
        <v>0</v>
      </c>
      <c r="AR192" s="7" t="s">
        <v>167</v>
      </c>
      <c r="AT192" s="7" t="s">
        <v>163</v>
      </c>
      <c r="AU192" s="7" t="s">
        <v>106</v>
      </c>
      <c r="AY192" s="7" t="s">
        <v>161</v>
      </c>
      <c r="BE192" s="89">
        <f>IF($U$192="základní",$N$192,0)</f>
        <v>0</v>
      </c>
      <c r="BF192" s="89">
        <f>IF($U$192="snížená",$N$192,0)</f>
        <v>0</v>
      </c>
      <c r="BG192" s="89">
        <f>IF($U$192="zákl. přenesená",$N$192,0)</f>
        <v>0</v>
      </c>
      <c r="BH192" s="89">
        <f>IF($U$192="sníž. přenesená",$N$192,0)</f>
        <v>0</v>
      </c>
      <c r="BI192" s="89">
        <f>IF($U$192="nulová",$N$192,0)</f>
        <v>0</v>
      </c>
      <c r="BJ192" s="7" t="s">
        <v>16</v>
      </c>
      <c r="BK192" s="89">
        <f>ROUND($L$192*$K$192,2)</f>
        <v>0</v>
      </c>
      <c r="BL192" s="7" t="s">
        <v>167</v>
      </c>
    </row>
    <row r="193" spans="2:51" s="7" customFormat="1" ht="15.75" customHeight="1">
      <c r="B193" s="142"/>
      <c r="C193" s="143"/>
      <c r="D193" s="143"/>
      <c r="E193" s="143"/>
      <c r="F193" s="215" t="s">
        <v>261</v>
      </c>
      <c r="G193" s="216"/>
      <c r="H193" s="216"/>
      <c r="I193" s="216"/>
      <c r="J193" s="143"/>
      <c r="K193" s="144">
        <v>0.632</v>
      </c>
      <c r="L193" s="143"/>
      <c r="M193" s="143"/>
      <c r="N193" s="143"/>
      <c r="O193" s="143"/>
      <c r="P193" s="143"/>
      <c r="Q193" s="143"/>
      <c r="R193" s="145"/>
      <c r="T193" s="146"/>
      <c r="U193" s="143"/>
      <c r="V193" s="143"/>
      <c r="W193" s="143"/>
      <c r="X193" s="143"/>
      <c r="Y193" s="143"/>
      <c r="Z193" s="143"/>
      <c r="AA193" s="147"/>
      <c r="AT193" s="148" t="s">
        <v>169</v>
      </c>
      <c r="AU193" s="148" t="s">
        <v>106</v>
      </c>
      <c r="AV193" s="148" t="s">
        <v>106</v>
      </c>
      <c r="AW193" s="148" t="s">
        <v>114</v>
      </c>
      <c r="AX193" s="148" t="s">
        <v>16</v>
      </c>
      <c r="AY193" s="148" t="s">
        <v>161</v>
      </c>
    </row>
    <row r="194" spans="2:64" s="7" customFormat="1" ht="27" customHeight="1">
      <c r="B194" s="23"/>
      <c r="C194" s="135" t="s">
        <v>7</v>
      </c>
      <c r="D194" s="135" t="s">
        <v>163</v>
      </c>
      <c r="E194" s="136" t="s">
        <v>262</v>
      </c>
      <c r="F194" s="217" t="s">
        <v>263</v>
      </c>
      <c r="G194" s="213"/>
      <c r="H194" s="213"/>
      <c r="I194" s="213"/>
      <c r="J194" s="137" t="s">
        <v>192</v>
      </c>
      <c r="K194" s="138">
        <v>0.512</v>
      </c>
      <c r="L194" s="212">
        <v>0</v>
      </c>
      <c r="M194" s="213"/>
      <c r="N194" s="214">
        <f>ROUND($L$194*$K$194,2)</f>
        <v>0</v>
      </c>
      <c r="O194" s="213"/>
      <c r="P194" s="213"/>
      <c r="Q194" s="213"/>
      <c r="R194" s="25"/>
      <c r="T194" s="139"/>
      <c r="U194" s="31" t="s">
        <v>41</v>
      </c>
      <c r="V194" s="140">
        <v>36.9</v>
      </c>
      <c r="W194" s="140">
        <f>$V$194*$K$194</f>
        <v>18.8928</v>
      </c>
      <c r="X194" s="140">
        <v>1.09</v>
      </c>
      <c r="Y194" s="140">
        <f>$X$194*$K$194</f>
        <v>0.55808</v>
      </c>
      <c r="Z194" s="140">
        <v>0</v>
      </c>
      <c r="AA194" s="141">
        <f>$Z$194*$K$194</f>
        <v>0</v>
      </c>
      <c r="AR194" s="7" t="s">
        <v>167</v>
      </c>
      <c r="AT194" s="7" t="s">
        <v>163</v>
      </c>
      <c r="AU194" s="7" t="s">
        <v>106</v>
      </c>
      <c r="AY194" s="7" t="s">
        <v>161</v>
      </c>
      <c r="BE194" s="89">
        <f>IF($U$194="základní",$N$194,0)</f>
        <v>0</v>
      </c>
      <c r="BF194" s="89">
        <f>IF($U$194="snížená",$N$194,0)</f>
        <v>0</v>
      </c>
      <c r="BG194" s="89">
        <f>IF($U$194="zákl. přenesená",$N$194,0)</f>
        <v>0</v>
      </c>
      <c r="BH194" s="89">
        <f>IF($U$194="sníž. přenesená",$N$194,0)</f>
        <v>0</v>
      </c>
      <c r="BI194" s="89">
        <f>IF($U$194="nulová",$N$194,0)</f>
        <v>0</v>
      </c>
      <c r="BJ194" s="7" t="s">
        <v>16</v>
      </c>
      <c r="BK194" s="89">
        <f>ROUND($L$194*$K$194,2)</f>
        <v>0</v>
      </c>
      <c r="BL194" s="7" t="s">
        <v>167</v>
      </c>
    </row>
    <row r="195" spans="2:51" s="7" customFormat="1" ht="15.75" customHeight="1">
      <c r="B195" s="142"/>
      <c r="C195" s="143"/>
      <c r="D195" s="143"/>
      <c r="E195" s="143"/>
      <c r="F195" s="215" t="s">
        <v>264</v>
      </c>
      <c r="G195" s="216"/>
      <c r="H195" s="216"/>
      <c r="I195" s="216"/>
      <c r="J195" s="143"/>
      <c r="K195" s="144">
        <v>0.512</v>
      </c>
      <c r="L195" s="143"/>
      <c r="M195" s="143"/>
      <c r="N195" s="143"/>
      <c r="O195" s="143"/>
      <c r="P195" s="143"/>
      <c r="Q195" s="143"/>
      <c r="R195" s="145"/>
      <c r="T195" s="146"/>
      <c r="U195" s="143"/>
      <c r="V195" s="143"/>
      <c r="W195" s="143"/>
      <c r="X195" s="143"/>
      <c r="Y195" s="143"/>
      <c r="Z195" s="143"/>
      <c r="AA195" s="147"/>
      <c r="AT195" s="148" t="s">
        <v>169</v>
      </c>
      <c r="AU195" s="148" t="s">
        <v>106</v>
      </c>
      <c r="AV195" s="148" t="s">
        <v>106</v>
      </c>
      <c r="AW195" s="148" t="s">
        <v>114</v>
      </c>
      <c r="AX195" s="148" t="s">
        <v>76</v>
      </c>
      <c r="AY195" s="148" t="s">
        <v>161</v>
      </c>
    </row>
    <row r="196" spans="2:51" s="7" customFormat="1" ht="15.75" customHeight="1">
      <c r="B196" s="149"/>
      <c r="C196" s="150"/>
      <c r="D196" s="150"/>
      <c r="E196" s="150"/>
      <c r="F196" s="223" t="s">
        <v>178</v>
      </c>
      <c r="G196" s="224"/>
      <c r="H196" s="224"/>
      <c r="I196" s="224"/>
      <c r="J196" s="150"/>
      <c r="K196" s="151">
        <v>0.512</v>
      </c>
      <c r="L196" s="150"/>
      <c r="M196" s="150"/>
      <c r="N196" s="150"/>
      <c r="O196" s="150"/>
      <c r="P196" s="150"/>
      <c r="Q196" s="150"/>
      <c r="R196" s="152"/>
      <c r="T196" s="153"/>
      <c r="U196" s="150"/>
      <c r="V196" s="150"/>
      <c r="W196" s="150"/>
      <c r="X196" s="150"/>
      <c r="Y196" s="150"/>
      <c r="Z196" s="150"/>
      <c r="AA196" s="154"/>
      <c r="AT196" s="155" t="s">
        <v>169</v>
      </c>
      <c r="AU196" s="155" t="s">
        <v>106</v>
      </c>
      <c r="AV196" s="155" t="s">
        <v>167</v>
      </c>
      <c r="AW196" s="155" t="s">
        <v>114</v>
      </c>
      <c r="AX196" s="155" t="s">
        <v>16</v>
      </c>
      <c r="AY196" s="155" t="s">
        <v>161</v>
      </c>
    </row>
    <row r="197" spans="2:64" s="7" customFormat="1" ht="27" customHeight="1">
      <c r="B197" s="23"/>
      <c r="C197" s="135" t="s">
        <v>265</v>
      </c>
      <c r="D197" s="135" t="s">
        <v>163</v>
      </c>
      <c r="E197" s="136" t="s">
        <v>266</v>
      </c>
      <c r="F197" s="217" t="s">
        <v>267</v>
      </c>
      <c r="G197" s="213"/>
      <c r="H197" s="213"/>
      <c r="I197" s="213"/>
      <c r="J197" s="137" t="s">
        <v>268</v>
      </c>
      <c r="K197" s="138">
        <v>6</v>
      </c>
      <c r="L197" s="212">
        <v>0</v>
      </c>
      <c r="M197" s="213"/>
      <c r="N197" s="214">
        <f>ROUND($L$197*$K$197,2)</f>
        <v>0</v>
      </c>
      <c r="O197" s="213"/>
      <c r="P197" s="213"/>
      <c r="Q197" s="213"/>
      <c r="R197" s="25"/>
      <c r="T197" s="139"/>
      <c r="U197" s="31" t="s">
        <v>41</v>
      </c>
      <c r="V197" s="140">
        <v>0.075</v>
      </c>
      <c r="W197" s="140">
        <f>$V$197*$K$197</f>
        <v>0.44999999999999996</v>
      </c>
      <c r="X197" s="140">
        <v>0.00026</v>
      </c>
      <c r="Y197" s="140">
        <f>$X$197*$K$197</f>
        <v>0.0015599999999999998</v>
      </c>
      <c r="Z197" s="140">
        <v>0</v>
      </c>
      <c r="AA197" s="141">
        <f>$Z$197*$K$197</f>
        <v>0</v>
      </c>
      <c r="AR197" s="7" t="s">
        <v>167</v>
      </c>
      <c r="AT197" s="7" t="s">
        <v>163</v>
      </c>
      <c r="AU197" s="7" t="s">
        <v>106</v>
      </c>
      <c r="AY197" s="7" t="s">
        <v>161</v>
      </c>
      <c r="BE197" s="89">
        <f>IF($U$197="základní",$N$197,0)</f>
        <v>0</v>
      </c>
      <c r="BF197" s="89">
        <f>IF($U$197="snížená",$N$197,0)</f>
        <v>0</v>
      </c>
      <c r="BG197" s="89">
        <f>IF($U$197="zákl. přenesená",$N$197,0)</f>
        <v>0</v>
      </c>
      <c r="BH197" s="89">
        <f>IF($U$197="sníž. přenesená",$N$197,0)</f>
        <v>0</v>
      </c>
      <c r="BI197" s="89">
        <f>IF($U$197="nulová",$N$197,0)</f>
        <v>0</v>
      </c>
      <c r="BJ197" s="7" t="s">
        <v>16</v>
      </c>
      <c r="BK197" s="89">
        <f>ROUND($L$197*$K$197,2)</f>
        <v>0</v>
      </c>
      <c r="BL197" s="7" t="s">
        <v>167</v>
      </c>
    </row>
    <row r="198" spans="2:51" s="7" customFormat="1" ht="15.75" customHeight="1">
      <c r="B198" s="142"/>
      <c r="C198" s="143"/>
      <c r="D198" s="143"/>
      <c r="E198" s="143"/>
      <c r="F198" s="215" t="s">
        <v>269</v>
      </c>
      <c r="G198" s="216"/>
      <c r="H198" s="216"/>
      <c r="I198" s="216"/>
      <c r="J198" s="143"/>
      <c r="K198" s="144">
        <v>6</v>
      </c>
      <c r="L198" s="143"/>
      <c r="M198" s="143"/>
      <c r="N198" s="143"/>
      <c r="O198" s="143"/>
      <c r="P198" s="143"/>
      <c r="Q198" s="143"/>
      <c r="R198" s="145"/>
      <c r="T198" s="146"/>
      <c r="U198" s="143"/>
      <c r="V198" s="143"/>
      <c r="W198" s="143"/>
      <c r="X198" s="143"/>
      <c r="Y198" s="143"/>
      <c r="Z198" s="143"/>
      <c r="AA198" s="147"/>
      <c r="AT198" s="148" t="s">
        <v>169</v>
      </c>
      <c r="AU198" s="148" t="s">
        <v>106</v>
      </c>
      <c r="AV198" s="148" t="s">
        <v>106</v>
      </c>
      <c r="AW198" s="148" t="s">
        <v>114</v>
      </c>
      <c r="AX198" s="148" t="s">
        <v>16</v>
      </c>
      <c r="AY198" s="148" t="s">
        <v>161</v>
      </c>
    </row>
    <row r="199" spans="2:64" s="7" customFormat="1" ht="27" customHeight="1">
      <c r="B199" s="23"/>
      <c r="C199" s="135" t="s">
        <v>270</v>
      </c>
      <c r="D199" s="135" t="s">
        <v>163</v>
      </c>
      <c r="E199" s="136" t="s">
        <v>271</v>
      </c>
      <c r="F199" s="217" t="s">
        <v>272</v>
      </c>
      <c r="G199" s="213"/>
      <c r="H199" s="213"/>
      <c r="I199" s="213"/>
      <c r="J199" s="137" t="s">
        <v>214</v>
      </c>
      <c r="K199" s="138">
        <v>7.812</v>
      </c>
      <c r="L199" s="212">
        <v>0</v>
      </c>
      <c r="M199" s="213"/>
      <c r="N199" s="214">
        <f>ROUND($L$199*$K$199,2)</f>
        <v>0</v>
      </c>
      <c r="O199" s="213"/>
      <c r="P199" s="213"/>
      <c r="Q199" s="213"/>
      <c r="R199" s="25"/>
      <c r="T199" s="139"/>
      <c r="U199" s="31" t="s">
        <v>41</v>
      </c>
      <c r="V199" s="140">
        <v>1.21</v>
      </c>
      <c r="W199" s="140">
        <f>$V$199*$K$199</f>
        <v>9.45252</v>
      </c>
      <c r="X199" s="140">
        <v>0.17818</v>
      </c>
      <c r="Y199" s="140">
        <f>$X$199*$K$199</f>
        <v>1.3919421600000002</v>
      </c>
      <c r="Z199" s="140">
        <v>0</v>
      </c>
      <c r="AA199" s="141">
        <f>$Z$199*$K$199</f>
        <v>0</v>
      </c>
      <c r="AR199" s="7" t="s">
        <v>167</v>
      </c>
      <c r="AT199" s="7" t="s">
        <v>163</v>
      </c>
      <c r="AU199" s="7" t="s">
        <v>106</v>
      </c>
      <c r="AY199" s="7" t="s">
        <v>161</v>
      </c>
      <c r="BE199" s="89">
        <f>IF($U$199="základní",$N$199,0)</f>
        <v>0</v>
      </c>
      <c r="BF199" s="89">
        <f>IF($U$199="snížená",$N$199,0)</f>
        <v>0</v>
      </c>
      <c r="BG199" s="89">
        <f>IF($U$199="zákl. přenesená",$N$199,0)</f>
        <v>0</v>
      </c>
      <c r="BH199" s="89">
        <f>IF($U$199="sníž. přenesená",$N$199,0)</f>
        <v>0</v>
      </c>
      <c r="BI199" s="89">
        <f>IF($U$199="nulová",$N$199,0)</f>
        <v>0</v>
      </c>
      <c r="BJ199" s="7" t="s">
        <v>16</v>
      </c>
      <c r="BK199" s="89">
        <f>ROUND($L$199*$K$199,2)</f>
        <v>0</v>
      </c>
      <c r="BL199" s="7" t="s">
        <v>167</v>
      </c>
    </row>
    <row r="200" spans="2:51" s="7" customFormat="1" ht="15.75" customHeight="1">
      <c r="B200" s="142"/>
      <c r="C200" s="143"/>
      <c r="D200" s="143"/>
      <c r="E200" s="143"/>
      <c r="F200" s="215" t="s">
        <v>273</v>
      </c>
      <c r="G200" s="216"/>
      <c r="H200" s="216"/>
      <c r="I200" s="216"/>
      <c r="J200" s="143"/>
      <c r="K200" s="144">
        <v>4.212</v>
      </c>
      <c r="L200" s="143"/>
      <c r="M200" s="143"/>
      <c r="N200" s="143"/>
      <c r="O200" s="143"/>
      <c r="P200" s="143"/>
      <c r="Q200" s="143"/>
      <c r="R200" s="145"/>
      <c r="T200" s="146"/>
      <c r="U200" s="143"/>
      <c r="V200" s="143"/>
      <c r="W200" s="143"/>
      <c r="X200" s="143"/>
      <c r="Y200" s="143"/>
      <c r="Z200" s="143"/>
      <c r="AA200" s="147"/>
      <c r="AT200" s="148" t="s">
        <v>169</v>
      </c>
      <c r="AU200" s="148" t="s">
        <v>106</v>
      </c>
      <c r="AV200" s="148" t="s">
        <v>106</v>
      </c>
      <c r="AW200" s="148" t="s">
        <v>114</v>
      </c>
      <c r="AX200" s="148" t="s">
        <v>76</v>
      </c>
      <c r="AY200" s="148" t="s">
        <v>161</v>
      </c>
    </row>
    <row r="201" spans="2:51" s="7" customFormat="1" ht="15.75" customHeight="1">
      <c r="B201" s="142"/>
      <c r="C201" s="143"/>
      <c r="D201" s="143"/>
      <c r="E201" s="143"/>
      <c r="F201" s="215" t="s">
        <v>274</v>
      </c>
      <c r="G201" s="216"/>
      <c r="H201" s="216"/>
      <c r="I201" s="216"/>
      <c r="J201" s="143"/>
      <c r="K201" s="144">
        <v>3.6</v>
      </c>
      <c r="L201" s="143"/>
      <c r="M201" s="143"/>
      <c r="N201" s="143"/>
      <c r="O201" s="143"/>
      <c r="P201" s="143"/>
      <c r="Q201" s="143"/>
      <c r="R201" s="145"/>
      <c r="T201" s="146"/>
      <c r="U201" s="143"/>
      <c r="V201" s="143"/>
      <c r="W201" s="143"/>
      <c r="X201" s="143"/>
      <c r="Y201" s="143"/>
      <c r="Z201" s="143"/>
      <c r="AA201" s="147"/>
      <c r="AT201" s="148" t="s">
        <v>169</v>
      </c>
      <c r="AU201" s="148" t="s">
        <v>106</v>
      </c>
      <c r="AV201" s="148" t="s">
        <v>106</v>
      </c>
      <c r="AW201" s="148" t="s">
        <v>114</v>
      </c>
      <c r="AX201" s="148" t="s">
        <v>76</v>
      </c>
      <c r="AY201" s="148" t="s">
        <v>161</v>
      </c>
    </row>
    <row r="202" spans="2:51" s="7" customFormat="1" ht="15.75" customHeight="1">
      <c r="B202" s="149"/>
      <c r="C202" s="150"/>
      <c r="D202" s="150"/>
      <c r="E202" s="150"/>
      <c r="F202" s="223" t="s">
        <v>178</v>
      </c>
      <c r="G202" s="224"/>
      <c r="H202" s="224"/>
      <c r="I202" s="224"/>
      <c r="J202" s="150"/>
      <c r="K202" s="151">
        <v>7.812</v>
      </c>
      <c r="L202" s="150"/>
      <c r="M202" s="150"/>
      <c r="N202" s="150"/>
      <c r="O202" s="150"/>
      <c r="P202" s="150"/>
      <c r="Q202" s="150"/>
      <c r="R202" s="152"/>
      <c r="T202" s="153"/>
      <c r="U202" s="150"/>
      <c r="V202" s="150"/>
      <c r="W202" s="150"/>
      <c r="X202" s="150"/>
      <c r="Y202" s="150"/>
      <c r="Z202" s="150"/>
      <c r="AA202" s="154"/>
      <c r="AT202" s="155" t="s">
        <v>169</v>
      </c>
      <c r="AU202" s="155" t="s">
        <v>106</v>
      </c>
      <c r="AV202" s="155" t="s">
        <v>167</v>
      </c>
      <c r="AW202" s="155" t="s">
        <v>114</v>
      </c>
      <c r="AX202" s="155" t="s">
        <v>16</v>
      </c>
      <c r="AY202" s="155" t="s">
        <v>161</v>
      </c>
    </row>
    <row r="203" spans="2:64" s="7" customFormat="1" ht="27" customHeight="1">
      <c r="B203" s="23"/>
      <c r="C203" s="135" t="s">
        <v>275</v>
      </c>
      <c r="D203" s="135" t="s">
        <v>163</v>
      </c>
      <c r="E203" s="136" t="s">
        <v>276</v>
      </c>
      <c r="F203" s="217" t="s">
        <v>277</v>
      </c>
      <c r="G203" s="213"/>
      <c r="H203" s="213"/>
      <c r="I203" s="213"/>
      <c r="J203" s="137" t="s">
        <v>214</v>
      </c>
      <c r="K203" s="138">
        <v>4.368</v>
      </c>
      <c r="L203" s="212">
        <v>0</v>
      </c>
      <c r="M203" s="213"/>
      <c r="N203" s="214">
        <f>ROUND($L$203*$K$203,2)</f>
        <v>0</v>
      </c>
      <c r="O203" s="213"/>
      <c r="P203" s="213"/>
      <c r="Q203" s="213"/>
      <c r="R203" s="25"/>
      <c r="T203" s="139"/>
      <c r="U203" s="31" t="s">
        <v>41</v>
      </c>
      <c r="V203" s="140">
        <v>1.13</v>
      </c>
      <c r="W203" s="140">
        <f>$V$203*$K$203</f>
        <v>4.93584</v>
      </c>
      <c r="X203" s="140">
        <v>0.1733</v>
      </c>
      <c r="Y203" s="140">
        <f>$X$203*$K$203</f>
        <v>0.7569744</v>
      </c>
      <c r="Z203" s="140">
        <v>0</v>
      </c>
      <c r="AA203" s="141">
        <f>$Z$203*$K$203</f>
        <v>0</v>
      </c>
      <c r="AR203" s="7" t="s">
        <v>167</v>
      </c>
      <c r="AT203" s="7" t="s">
        <v>163</v>
      </c>
      <c r="AU203" s="7" t="s">
        <v>106</v>
      </c>
      <c r="AY203" s="7" t="s">
        <v>161</v>
      </c>
      <c r="BE203" s="89">
        <f>IF($U$203="základní",$N$203,0)</f>
        <v>0</v>
      </c>
      <c r="BF203" s="89">
        <f>IF($U$203="snížená",$N$203,0)</f>
        <v>0</v>
      </c>
      <c r="BG203" s="89">
        <f>IF($U$203="zákl. přenesená",$N$203,0)</f>
        <v>0</v>
      </c>
      <c r="BH203" s="89">
        <f>IF($U$203="sníž. přenesená",$N$203,0)</f>
        <v>0</v>
      </c>
      <c r="BI203" s="89">
        <f>IF($U$203="nulová",$N$203,0)</f>
        <v>0</v>
      </c>
      <c r="BJ203" s="7" t="s">
        <v>16</v>
      </c>
      <c r="BK203" s="89">
        <f>ROUND($L$203*$K$203,2)</f>
        <v>0</v>
      </c>
      <c r="BL203" s="7" t="s">
        <v>167</v>
      </c>
    </row>
    <row r="204" spans="2:51" s="7" customFormat="1" ht="15.75" customHeight="1">
      <c r="B204" s="142"/>
      <c r="C204" s="143"/>
      <c r="D204" s="143"/>
      <c r="E204" s="143"/>
      <c r="F204" s="215" t="s">
        <v>278</v>
      </c>
      <c r="G204" s="216"/>
      <c r="H204" s="216"/>
      <c r="I204" s="216"/>
      <c r="J204" s="143"/>
      <c r="K204" s="144">
        <v>4.368</v>
      </c>
      <c r="L204" s="143"/>
      <c r="M204" s="143"/>
      <c r="N204" s="143"/>
      <c r="O204" s="143"/>
      <c r="P204" s="143"/>
      <c r="Q204" s="143"/>
      <c r="R204" s="145"/>
      <c r="T204" s="146"/>
      <c r="U204" s="143"/>
      <c r="V204" s="143"/>
      <c r="W204" s="143"/>
      <c r="X204" s="143"/>
      <c r="Y204" s="143"/>
      <c r="Z204" s="143"/>
      <c r="AA204" s="147"/>
      <c r="AT204" s="148" t="s">
        <v>169</v>
      </c>
      <c r="AU204" s="148" t="s">
        <v>106</v>
      </c>
      <c r="AV204" s="148" t="s">
        <v>106</v>
      </c>
      <c r="AW204" s="148" t="s">
        <v>114</v>
      </c>
      <c r="AX204" s="148" t="s">
        <v>16</v>
      </c>
      <c r="AY204" s="148" t="s">
        <v>161</v>
      </c>
    </row>
    <row r="205" spans="2:63" s="124" customFormat="1" ht="30.75" customHeight="1">
      <c r="B205" s="125"/>
      <c r="C205" s="126"/>
      <c r="D205" s="134" t="s">
        <v>119</v>
      </c>
      <c r="E205" s="126"/>
      <c r="F205" s="126"/>
      <c r="G205" s="126"/>
      <c r="H205" s="126"/>
      <c r="I205" s="126"/>
      <c r="J205" s="126"/>
      <c r="K205" s="126"/>
      <c r="L205" s="126"/>
      <c r="M205" s="126"/>
      <c r="N205" s="206">
        <f>$BK$205</f>
        <v>0</v>
      </c>
      <c r="O205" s="207"/>
      <c r="P205" s="207"/>
      <c r="Q205" s="207"/>
      <c r="R205" s="128"/>
      <c r="T205" s="129"/>
      <c r="U205" s="126"/>
      <c r="V205" s="126"/>
      <c r="W205" s="130">
        <f>SUM($W$206:$W$230)</f>
        <v>37.664584999999995</v>
      </c>
      <c r="X205" s="126"/>
      <c r="Y205" s="130">
        <f>SUM($Y$206:$Y$230)</f>
        <v>8.09240046</v>
      </c>
      <c r="Z205" s="126"/>
      <c r="AA205" s="131">
        <f>SUM($AA$206:$AA$230)</f>
        <v>0</v>
      </c>
      <c r="AR205" s="132" t="s">
        <v>16</v>
      </c>
      <c r="AT205" s="132" t="s">
        <v>75</v>
      </c>
      <c r="AU205" s="132" t="s">
        <v>16</v>
      </c>
      <c r="AY205" s="132" t="s">
        <v>161</v>
      </c>
      <c r="BK205" s="133">
        <f>SUM($BK$206:$BK$230)</f>
        <v>0</v>
      </c>
    </row>
    <row r="206" spans="2:64" s="7" customFormat="1" ht="27" customHeight="1">
      <c r="B206" s="23"/>
      <c r="C206" s="135" t="s">
        <v>279</v>
      </c>
      <c r="D206" s="135" t="s">
        <v>163</v>
      </c>
      <c r="E206" s="136" t="s">
        <v>280</v>
      </c>
      <c r="F206" s="217" t="s">
        <v>281</v>
      </c>
      <c r="G206" s="213"/>
      <c r="H206" s="213"/>
      <c r="I206" s="213"/>
      <c r="J206" s="137" t="s">
        <v>254</v>
      </c>
      <c r="K206" s="138">
        <v>22</v>
      </c>
      <c r="L206" s="212">
        <v>0</v>
      </c>
      <c r="M206" s="213"/>
      <c r="N206" s="214">
        <f>ROUND($L$206*$K$206,2)</f>
        <v>0</v>
      </c>
      <c r="O206" s="213"/>
      <c r="P206" s="213"/>
      <c r="Q206" s="213"/>
      <c r="R206" s="25"/>
      <c r="T206" s="139"/>
      <c r="U206" s="31" t="s">
        <v>41</v>
      </c>
      <c r="V206" s="140">
        <v>0.34</v>
      </c>
      <c r="W206" s="140">
        <f>$V$206*$K$206</f>
        <v>7.48</v>
      </c>
      <c r="X206" s="140">
        <v>0.06736</v>
      </c>
      <c r="Y206" s="140">
        <f>$X$206*$K$206</f>
        <v>1.4819200000000001</v>
      </c>
      <c r="Z206" s="140">
        <v>0</v>
      </c>
      <c r="AA206" s="141">
        <f>$Z$206*$K$206</f>
        <v>0</v>
      </c>
      <c r="AR206" s="7" t="s">
        <v>167</v>
      </c>
      <c r="AT206" s="7" t="s">
        <v>163</v>
      </c>
      <c r="AU206" s="7" t="s">
        <v>106</v>
      </c>
      <c r="AY206" s="7" t="s">
        <v>161</v>
      </c>
      <c r="BE206" s="89">
        <f>IF($U$206="základní",$N$206,0)</f>
        <v>0</v>
      </c>
      <c r="BF206" s="89">
        <f>IF($U$206="snížená",$N$206,0)</f>
        <v>0</v>
      </c>
      <c r="BG206" s="89">
        <f>IF($U$206="zákl. přenesená",$N$206,0)</f>
        <v>0</v>
      </c>
      <c r="BH206" s="89">
        <f>IF($U$206="sníž. přenesená",$N$206,0)</f>
        <v>0</v>
      </c>
      <c r="BI206" s="89">
        <f>IF($U$206="nulová",$N$206,0)</f>
        <v>0</v>
      </c>
      <c r="BJ206" s="7" t="s">
        <v>16</v>
      </c>
      <c r="BK206" s="89">
        <f>ROUND($L$206*$K$206,2)</f>
        <v>0</v>
      </c>
      <c r="BL206" s="7" t="s">
        <v>167</v>
      </c>
    </row>
    <row r="207" spans="2:51" s="7" customFormat="1" ht="15.75" customHeight="1">
      <c r="B207" s="142"/>
      <c r="C207" s="143"/>
      <c r="D207" s="143"/>
      <c r="E207" s="143"/>
      <c r="F207" s="215" t="s">
        <v>282</v>
      </c>
      <c r="G207" s="216"/>
      <c r="H207" s="216"/>
      <c r="I207" s="216"/>
      <c r="J207" s="143"/>
      <c r="K207" s="144">
        <v>22</v>
      </c>
      <c r="L207" s="143"/>
      <c r="M207" s="143"/>
      <c r="N207" s="143"/>
      <c r="O207" s="143"/>
      <c r="P207" s="143"/>
      <c r="Q207" s="143"/>
      <c r="R207" s="145"/>
      <c r="T207" s="146"/>
      <c r="U207" s="143"/>
      <c r="V207" s="143"/>
      <c r="W207" s="143"/>
      <c r="X207" s="143"/>
      <c r="Y207" s="143"/>
      <c r="Z207" s="143"/>
      <c r="AA207" s="147"/>
      <c r="AT207" s="148" t="s">
        <v>169</v>
      </c>
      <c r="AU207" s="148" t="s">
        <v>106</v>
      </c>
      <c r="AV207" s="148" t="s">
        <v>106</v>
      </c>
      <c r="AW207" s="148" t="s">
        <v>114</v>
      </c>
      <c r="AX207" s="148" t="s">
        <v>16</v>
      </c>
      <c r="AY207" s="148" t="s">
        <v>161</v>
      </c>
    </row>
    <row r="208" spans="2:64" s="7" customFormat="1" ht="27" customHeight="1">
      <c r="B208" s="23"/>
      <c r="C208" s="135" t="s">
        <v>283</v>
      </c>
      <c r="D208" s="135" t="s">
        <v>163</v>
      </c>
      <c r="E208" s="136" t="s">
        <v>284</v>
      </c>
      <c r="F208" s="217" t="s">
        <v>285</v>
      </c>
      <c r="G208" s="213"/>
      <c r="H208" s="213"/>
      <c r="I208" s="213"/>
      <c r="J208" s="137" t="s">
        <v>254</v>
      </c>
      <c r="K208" s="138">
        <v>14</v>
      </c>
      <c r="L208" s="212">
        <v>0</v>
      </c>
      <c r="M208" s="213"/>
      <c r="N208" s="214">
        <f>ROUND($L$208*$K$208,2)</f>
        <v>0</v>
      </c>
      <c r="O208" s="213"/>
      <c r="P208" s="213"/>
      <c r="Q208" s="213"/>
      <c r="R208" s="25"/>
      <c r="T208" s="139"/>
      <c r="U208" s="31" t="s">
        <v>41</v>
      </c>
      <c r="V208" s="140">
        <v>0.29</v>
      </c>
      <c r="W208" s="140">
        <f>$V$208*$K$208</f>
        <v>4.06</v>
      </c>
      <c r="X208" s="140">
        <v>0.059</v>
      </c>
      <c r="Y208" s="140">
        <f>$X$208*$K$208</f>
        <v>0.826</v>
      </c>
      <c r="Z208" s="140">
        <v>0</v>
      </c>
      <c r="AA208" s="141">
        <f>$Z$208*$K$208</f>
        <v>0</v>
      </c>
      <c r="AR208" s="7" t="s">
        <v>167</v>
      </c>
      <c r="AT208" s="7" t="s">
        <v>163</v>
      </c>
      <c r="AU208" s="7" t="s">
        <v>106</v>
      </c>
      <c r="AY208" s="7" t="s">
        <v>161</v>
      </c>
      <c r="BE208" s="89">
        <f>IF($U$208="základní",$N$208,0)</f>
        <v>0</v>
      </c>
      <c r="BF208" s="89">
        <f>IF($U$208="snížená",$N$208,0)</f>
        <v>0</v>
      </c>
      <c r="BG208" s="89">
        <f>IF($U$208="zákl. přenesená",$N$208,0)</f>
        <v>0</v>
      </c>
      <c r="BH208" s="89">
        <f>IF($U$208="sníž. přenesená",$N$208,0)</f>
        <v>0</v>
      </c>
      <c r="BI208" s="89">
        <f>IF($U$208="nulová",$N$208,0)</f>
        <v>0</v>
      </c>
      <c r="BJ208" s="7" t="s">
        <v>16</v>
      </c>
      <c r="BK208" s="89">
        <f>ROUND($L$208*$K$208,2)</f>
        <v>0</v>
      </c>
      <c r="BL208" s="7" t="s">
        <v>167</v>
      </c>
    </row>
    <row r="209" spans="2:64" s="7" customFormat="1" ht="15.75" customHeight="1">
      <c r="B209" s="23"/>
      <c r="C209" s="135" t="s">
        <v>286</v>
      </c>
      <c r="D209" s="135" t="s">
        <v>163</v>
      </c>
      <c r="E209" s="136" t="s">
        <v>287</v>
      </c>
      <c r="F209" s="217" t="s">
        <v>288</v>
      </c>
      <c r="G209" s="213"/>
      <c r="H209" s="213"/>
      <c r="I209" s="213"/>
      <c r="J209" s="137" t="s">
        <v>166</v>
      </c>
      <c r="K209" s="138">
        <v>2.451</v>
      </c>
      <c r="L209" s="212">
        <v>0</v>
      </c>
      <c r="M209" s="213"/>
      <c r="N209" s="214">
        <f>ROUND($L$209*$K$209,2)</f>
        <v>0</v>
      </c>
      <c r="O209" s="213"/>
      <c r="P209" s="213"/>
      <c r="Q209" s="213"/>
      <c r="R209" s="25"/>
      <c r="T209" s="139"/>
      <c r="U209" s="31" t="s">
        <v>41</v>
      </c>
      <c r="V209" s="140">
        <v>1.448</v>
      </c>
      <c r="W209" s="140">
        <f>$V$209*$K$209</f>
        <v>3.549048</v>
      </c>
      <c r="X209" s="140">
        <v>2.25645</v>
      </c>
      <c r="Y209" s="140">
        <f>$X$209*$K$209</f>
        <v>5.5305589500000005</v>
      </c>
      <c r="Z209" s="140">
        <v>0</v>
      </c>
      <c r="AA209" s="141">
        <f>$Z$209*$K$209</f>
        <v>0</v>
      </c>
      <c r="AR209" s="7" t="s">
        <v>167</v>
      </c>
      <c r="AT209" s="7" t="s">
        <v>163</v>
      </c>
      <c r="AU209" s="7" t="s">
        <v>106</v>
      </c>
      <c r="AY209" s="7" t="s">
        <v>161</v>
      </c>
      <c r="BE209" s="89">
        <f>IF($U$209="základní",$N$209,0)</f>
        <v>0</v>
      </c>
      <c r="BF209" s="89">
        <f>IF($U$209="snížená",$N$209,0)</f>
        <v>0</v>
      </c>
      <c r="BG209" s="89">
        <f>IF($U$209="zákl. přenesená",$N$209,0)</f>
        <v>0</v>
      </c>
      <c r="BH209" s="89">
        <f>IF($U$209="sníž. přenesená",$N$209,0)</f>
        <v>0</v>
      </c>
      <c r="BI209" s="89">
        <f>IF($U$209="nulová",$N$209,0)</f>
        <v>0</v>
      </c>
      <c r="BJ209" s="7" t="s">
        <v>16</v>
      </c>
      <c r="BK209" s="89">
        <f>ROUND($L$209*$K$209,2)</f>
        <v>0</v>
      </c>
      <c r="BL209" s="7" t="s">
        <v>167</v>
      </c>
    </row>
    <row r="210" spans="2:51" s="7" customFormat="1" ht="15.75" customHeight="1">
      <c r="B210" s="142"/>
      <c r="C210" s="143"/>
      <c r="D210" s="143"/>
      <c r="E210" s="143"/>
      <c r="F210" s="215" t="s">
        <v>289</v>
      </c>
      <c r="G210" s="216"/>
      <c r="H210" s="216"/>
      <c r="I210" s="216"/>
      <c r="J210" s="143"/>
      <c r="K210" s="144">
        <v>1.053</v>
      </c>
      <c r="L210" s="143"/>
      <c r="M210" s="143"/>
      <c r="N210" s="143"/>
      <c r="O210" s="143"/>
      <c r="P210" s="143"/>
      <c r="Q210" s="143"/>
      <c r="R210" s="145"/>
      <c r="T210" s="146"/>
      <c r="U210" s="143"/>
      <c r="V210" s="143"/>
      <c r="W210" s="143"/>
      <c r="X210" s="143"/>
      <c r="Y210" s="143"/>
      <c r="Z210" s="143"/>
      <c r="AA210" s="147"/>
      <c r="AT210" s="148" t="s">
        <v>169</v>
      </c>
      <c r="AU210" s="148" t="s">
        <v>106</v>
      </c>
      <c r="AV210" s="148" t="s">
        <v>106</v>
      </c>
      <c r="AW210" s="148" t="s">
        <v>114</v>
      </c>
      <c r="AX210" s="148" t="s">
        <v>76</v>
      </c>
      <c r="AY210" s="148" t="s">
        <v>161</v>
      </c>
    </row>
    <row r="211" spans="2:51" s="7" customFormat="1" ht="15.75" customHeight="1">
      <c r="B211" s="142"/>
      <c r="C211" s="143"/>
      <c r="D211" s="143"/>
      <c r="E211" s="143"/>
      <c r="F211" s="215" t="s">
        <v>290</v>
      </c>
      <c r="G211" s="216"/>
      <c r="H211" s="216"/>
      <c r="I211" s="216"/>
      <c r="J211" s="143"/>
      <c r="K211" s="144">
        <v>0.828</v>
      </c>
      <c r="L211" s="143"/>
      <c r="M211" s="143"/>
      <c r="N211" s="143"/>
      <c r="O211" s="143"/>
      <c r="P211" s="143"/>
      <c r="Q211" s="143"/>
      <c r="R211" s="145"/>
      <c r="T211" s="146"/>
      <c r="U211" s="143"/>
      <c r="V211" s="143"/>
      <c r="W211" s="143"/>
      <c r="X211" s="143"/>
      <c r="Y211" s="143"/>
      <c r="Z211" s="143"/>
      <c r="AA211" s="147"/>
      <c r="AT211" s="148" t="s">
        <v>169</v>
      </c>
      <c r="AU211" s="148" t="s">
        <v>106</v>
      </c>
      <c r="AV211" s="148" t="s">
        <v>106</v>
      </c>
      <c r="AW211" s="148" t="s">
        <v>114</v>
      </c>
      <c r="AX211" s="148" t="s">
        <v>76</v>
      </c>
      <c r="AY211" s="148" t="s">
        <v>161</v>
      </c>
    </row>
    <row r="212" spans="2:51" s="7" customFormat="1" ht="15.75" customHeight="1">
      <c r="B212" s="142"/>
      <c r="C212" s="143"/>
      <c r="D212" s="143"/>
      <c r="E212" s="143"/>
      <c r="F212" s="215" t="s">
        <v>291</v>
      </c>
      <c r="G212" s="216"/>
      <c r="H212" s="216"/>
      <c r="I212" s="216"/>
      <c r="J212" s="143"/>
      <c r="K212" s="144">
        <v>0.57</v>
      </c>
      <c r="L212" s="143"/>
      <c r="M212" s="143"/>
      <c r="N212" s="143"/>
      <c r="O212" s="143"/>
      <c r="P212" s="143"/>
      <c r="Q212" s="143"/>
      <c r="R212" s="145"/>
      <c r="T212" s="146"/>
      <c r="U212" s="143"/>
      <c r="V212" s="143"/>
      <c r="W212" s="143"/>
      <c r="X212" s="143"/>
      <c r="Y212" s="143"/>
      <c r="Z212" s="143"/>
      <c r="AA212" s="147"/>
      <c r="AT212" s="148" t="s">
        <v>169</v>
      </c>
      <c r="AU212" s="148" t="s">
        <v>106</v>
      </c>
      <c r="AV212" s="148" t="s">
        <v>106</v>
      </c>
      <c r="AW212" s="148" t="s">
        <v>114</v>
      </c>
      <c r="AX212" s="148" t="s">
        <v>76</v>
      </c>
      <c r="AY212" s="148" t="s">
        <v>161</v>
      </c>
    </row>
    <row r="213" spans="2:51" s="7" customFormat="1" ht="15.75" customHeight="1">
      <c r="B213" s="149"/>
      <c r="C213" s="150"/>
      <c r="D213" s="150"/>
      <c r="E213" s="150"/>
      <c r="F213" s="223" t="s">
        <v>178</v>
      </c>
      <c r="G213" s="224"/>
      <c r="H213" s="224"/>
      <c r="I213" s="224"/>
      <c r="J213" s="150"/>
      <c r="K213" s="151">
        <v>2.451</v>
      </c>
      <c r="L213" s="150"/>
      <c r="M213" s="150"/>
      <c r="N213" s="150"/>
      <c r="O213" s="150"/>
      <c r="P213" s="150"/>
      <c r="Q213" s="150"/>
      <c r="R213" s="152"/>
      <c r="T213" s="153"/>
      <c r="U213" s="150"/>
      <c r="V213" s="150"/>
      <c r="W213" s="150"/>
      <c r="X213" s="150"/>
      <c r="Y213" s="150"/>
      <c r="Z213" s="150"/>
      <c r="AA213" s="154"/>
      <c r="AT213" s="155" t="s">
        <v>169</v>
      </c>
      <c r="AU213" s="155" t="s">
        <v>106</v>
      </c>
      <c r="AV213" s="155" t="s">
        <v>167</v>
      </c>
      <c r="AW213" s="155" t="s">
        <v>114</v>
      </c>
      <c r="AX213" s="155" t="s">
        <v>16</v>
      </c>
      <c r="AY213" s="155" t="s">
        <v>161</v>
      </c>
    </row>
    <row r="214" spans="2:64" s="7" customFormat="1" ht="15.75" customHeight="1">
      <c r="B214" s="23"/>
      <c r="C214" s="135" t="s">
        <v>292</v>
      </c>
      <c r="D214" s="135" t="s">
        <v>163</v>
      </c>
      <c r="E214" s="136" t="s">
        <v>293</v>
      </c>
      <c r="F214" s="217" t="s">
        <v>294</v>
      </c>
      <c r="G214" s="213"/>
      <c r="H214" s="213"/>
      <c r="I214" s="213"/>
      <c r="J214" s="137" t="s">
        <v>214</v>
      </c>
      <c r="K214" s="138">
        <v>18.305</v>
      </c>
      <c r="L214" s="212">
        <v>0</v>
      </c>
      <c r="M214" s="213"/>
      <c r="N214" s="214">
        <f>ROUND($L$214*$K$214,2)</f>
        <v>0</v>
      </c>
      <c r="O214" s="213"/>
      <c r="P214" s="213"/>
      <c r="Q214" s="213"/>
      <c r="R214" s="25"/>
      <c r="T214" s="139"/>
      <c r="U214" s="31" t="s">
        <v>41</v>
      </c>
      <c r="V214" s="140">
        <v>0.681</v>
      </c>
      <c r="W214" s="140">
        <f>$V$214*$K$214</f>
        <v>12.465705000000002</v>
      </c>
      <c r="X214" s="140">
        <v>0.00519</v>
      </c>
      <c r="Y214" s="140">
        <f>$X$214*$K$214</f>
        <v>0.09500295</v>
      </c>
      <c r="Z214" s="140">
        <v>0</v>
      </c>
      <c r="AA214" s="141">
        <f>$Z$214*$K$214</f>
        <v>0</v>
      </c>
      <c r="AR214" s="7" t="s">
        <v>167</v>
      </c>
      <c r="AT214" s="7" t="s">
        <v>163</v>
      </c>
      <c r="AU214" s="7" t="s">
        <v>106</v>
      </c>
      <c r="AY214" s="7" t="s">
        <v>161</v>
      </c>
      <c r="BE214" s="89">
        <f>IF($U$214="základní",$N$214,0)</f>
        <v>0</v>
      </c>
      <c r="BF214" s="89">
        <f>IF($U$214="snížená",$N$214,0)</f>
        <v>0</v>
      </c>
      <c r="BG214" s="89">
        <f>IF($U$214="zákl. přenesená",$N$214,0)</f>
        <v>0</v>
      </c>
      <c r="BH214" s="89">
        <f>IF($U$214="sníž. přenesená",$N$214,0)</f>
        <v>0</v>
      </c>
      <c r="BI214" s="89">
        <f>IF($U$214="nulová",$N$214,0)</f>
        <v>0</v>
      </c>
      <c r="BJ214" s="7" t="s">
        <v>16</v>
      </c>
      <c r="BK214" s="89">
        <f>ROUND($L$214*$K$214,2)</f>
        <v>0</v>
      </c>
      <c r="BL214" s="7" t="s">
        <v>167</v>
      </c>
    </row>
    <row r="215" spans="2:51" s="7" customFormat="1" ht="15.75" customHeight="1">
      <c r="B215" s="142"/>
      <c r="C215" s="143"/>
      <c r="D215" s="143"/>
      <c r="E215" s="143"/>
      <c r="F215" s="215" t="s">
        <v>295</v>
      </c>
      <c r="G215" s="216"/>
      <c r="H215" s="216"/>
      <c r="I215" s="216"/>
      <c r="J215" s="143"/>
      <c r="K215" s="144">
        <v>8.985</v>
      </c>
      <c r="L215" s="143"/>
      <c r="M215" s="143"/>
      <c r="N215" s="143"/>
      <c r="O215" s="143"/>
      <c r="P215" s="143"/>
      <c r="Q215" s="143"/>
      <c r="R215" s="145"/>
      <c r="T215" s="146"/>
      <c r="U215" s="143"/>
      <c r="V215" s="143"/>
      <c r="W215" s="143"/>
      <c r="X215" s="143"/>
      <c r="Y215" s="143"/>
      <c r="Z215" s="143"/>
      <c r="AA215" s="147"/>
      <c r="AT215" s="148" t="s">
        <v>169</v>
      </c>
      <c r="AU215" s="148" t="s">
        <v>106</v>
      </c>
      <c r="AV215" s="148" t="s">
        <v>106</v>
      </c>
      <c r="AW215" s="148" t="s">
        <v>114</v>
      </c>
      <c r="AX215" s="148" t="s">
        <v>76</v>
      </c>
      <c r="AY215" s="148" t="s">
        <v>161</v>
      </c>
    </row>
    <row r="216" spans="2:51" s="7" customFormat="1" ht="15.75" customHeight="1">
      <c r="B216" s="142"/>
      <c r="C216" s="143"/>
      <c r="D216" s="143"/>
      <c r="E216" s="143"/>
      <c r="F216" s="215" t="s">
        <v>296</v>
      </c>
      <c r="G216" s="216"/>
      <c r="H216" s="216"/>
      <c r="I216" s="216"/>
      <c r="J216" s="143"/>
      <c r="K216" s="144">
        <v>5.52</v>
      </c>
      <c r="L216" s="143"/>
      <c r="M216" s="143"/>
      <c r="N216" s="143"/>
      <c r="O216" s="143"/>
      <c r="P216" s="143"/>
      <c r="Q216" s="143"/>
      <c r="R216" s="145"/>
      <c r="T216" s="146"/>
      <c r="U216" s="143"/>
      <c r="V216" s="143"/>
      <c r="W216" s="143"/>
      <c r="X216" s="143"/>
      <c r="Y216" s="143"/>
      <c r="Z216" s="143"/>
      <c r="AA216" s="147"/>
      <c r="AT216" s="148" t="s">
        <v>169</v>
      </c>
      <c r="AU216" s="148" t="s">
        <v>106</v>
      </c>
      <c r="AV216" s="148" t="s">
        <v>106</v>
      </c>
      <c r="AW216" s="148" t="s">
        <v>114</v>
      </c>
      <c r="AX216" s="148" t="s">
        <v>76</v>
      </c>
      <c r="AY216" s="148" t="s">
        <v>161</v>
      </c>
    </row>
    <row r="217" spans="2:51" s="7" customFormat="1" ht="15.75" customHeight="1">
      <c r="B217" s="142"/>
      <c r="C217" s="143"/>
      <c r="D217" s="143"/>
      <c r="E217" s="143"/>
      <c r="F217" s="215" t="s">
        <v>297</v>
      </c>
      <c r="G217" s="216"/>
      <c r="H217" s="216"/>
      <c r="I217" s="216"/>
      <c r="J217" s="143"/>
      <c r="K217" s="144">
        <v>3.8</v>
      </c>
      <c r="L217" s="143"/>
      <c r="M217" s="143"/>
      <c r="N217" s="143"/>
      <c r="O217" s="143"/>
      <c r="P217" s="143"/>
      <c r="Q217" s="143"/>
      <c r="R217" s="145"/>
      <c r="T217" s="146"/>
      <c r="U217" s="143"/>
      <c r="V217" s="143"/>
      <c r="W217" s="143"/>
      <c r="X217" s="143"/>
      <c r="Y217" s="143"/>
      <c r="Z217" s="143"/>
      <c r="AA217" s="147"/>
      <c r="AT217" s="148" t="s">
        <v>169</v>
      </c>
      <c r="AU217" s="148" t="s">
        <v>106</v>
      </c>
      <c r="AV217" s="148" t="s">
        <v>106</v>
      </c>
      <c r="AW217" s="148" t="s">
        <v>114</v>
      </c>
      <c r="AX217" s="148" t="s">
        <v>76</v>
      </c>
      <c r="AY217" s="148" t="s">
        <v>161</v>
      </c>
    </row>
    <row r="218" spans="2:51" s="7" customFormat="1" ht="15.75" customHeight="1">
      <c r="B218" s="149"/>
      <c r="C218" s="150"/>
      <c r="D218" s="150"/>
      <c r="E218" s="150"/>
      <c r="F218" s="223" t="s">
        <v>178</v>
      </c>
      <c r="G218" s="224"/>
      <c r="H218" s="224"/>
      <c r="I218" s="224"/>
      <c r="J218" s="150"/>
      <c r="K218" s="151">
        <v>18.305</v>
      </c>
      <c r="L218" s="150"/>
      <c r="M218" s="150"/>
      <c r="N218" s="150"/>
      <c r="O218" s="150"/>
      <c r="P218" s="150"/>
      <c r="Q218" s="150"/>
      <c r="R218" s="152"/>
      <c r="T218" s="153"/>
      <c r="U218" s="150"/>
      <c r="V218" s="150"/>
      <c r="W218" s="150"/>
      <c r="X218" s="150"/>
      <c r="Y218" s="150"/>
      <c r="Z218" s="150"/>
      <c r="AA218" s="154"/>
      <c r="AT218" s="155" t="s">
        <v>169</v>
      </c>
      <c r="AU218" s="155" t="s">
        <v>106</v>
      </c>
      <c r="AV218" s="155" t="s">
        <v>167</v>
      </c>
      <c r="AW218" s="155" t="s">
        <v>114</v>
      </c>
      <c r="AX218" s="155" t="s">
        <v>16</v>
      </c>
      <c r="AY218" s="155" t="s">
        <v>161</v>
      </c>
    </row>
    <row r="219" spans="2:64" s="7" customFormat="1" ht="15.75" customHeight="1">
      <c r="B219" s="23"/>
      <c r="C219" s="135" t="s">
        <v>298</v>
      </c>
      <c r="D219" s="135" t="s">
        <v>163</v>
      </c>
      <c r="E219" s="136" t="s">
        <v>299</v>
      </c>
      <c r="F219" s="217" t="s">
        <v>300</v>
      </c>
      <c r="G219" s="213"/>
      <c r="H219" s="213"/>
      <c r="I219" s="213"/>
      <c r="J219" s="137" t="s">
        <v>214</v>
      </c>
      <c r="K219" s="138">
        <v>18.305</v>
      </c>
      <c r="L219" s="212">
        <v>0</v>
      </c>
      <c r="M219" s="213"/>
      <c r="N219" s="214">
        <f>ROUND($L$219*$K$219,2)</f>
        <v>0</v>
      </c>
      <c r="O219" s="213"/>
      <c r="P219" s="213"/>
      <c r="Q219" s="213"/>
      <c r="R219" s="25"/>
      <c r="T219" s="139"/>
      <c r="U219" s="31" t="s">
        <v>41</v>
      </c>
      <c r="V219" s="140">
        <v>0.24</v>
      </c>
      <c r="W219" s="140">
        <f>$V$219*$K$219</f>
        <v>4.393199999999999</v>
      </c>
      <c r="X219" s="140">
        <v>0</v>
      </c>
      <c r="Y219" s="140">
        <f>$X$219*$K$219</f>
        <v>0</v>
      </c>
      <c r="Z219" s="140">
        <v>0</v>
      </c>
      <c r="AA219" s="141">
        <f>$Z$219*$K$219</f>
        <v>0</v>
      </c>
      <c r="AR219" s="7" t="s">
        <v>167</v>
      </c>
      <c r="AT219" s="7" t="s">
        <v>163</v>
      </c>
      <c r="AU219" s="7" t="s">
        <v>106</v>
      </c>
      <c r="AY219" s="7" t="s">
        <v>161</v>
      </c>
      <c r="BE219" s="89">
        <f>IF($U$219="základní",$N$219,0)</f>
        <v>0</v>
      </c>
      <c r="BF219" s="89">
        <f>IF($U$219="snížená",$N$219,0)</f>
        <v>0</v>
      </c>
      <c r="BG219" s="89">
        <f>IF($U$219="zákl. přenesená",$N$219,0)</f>
        <v>0</v>
      </c>
      <c r="BH219" s="89">
        <f>IF($U$219="sníž. přenesená",$N$219,0)</f>
        <v>0</v>
      </c>
      <c r="BI219" s="89">
        <f>IF($U$219="nulová",$N$219,0)</f>
        <v>0</v>
      </c>
      <c r="BJ219" s="7" t="s">
        <v>16</v>
      </c>
      <c r="BK219" s="89">
        <f>ROUND($L$219*$K$219,2)</f>
        <v>0</v>
      </c>
      <c r="BL219" s="7" t="s">
        <v>167</v>
      </c>
    </row>
    <row r="220" spans="2:51" s="7" customFormat="1" ht="15.75" customHeight="1">
      <c r="B220" s="142"/>
      <c r="C220" s="143"/>
      <c r="D220" s="143"/>
      <c r="E220" s="143"/>
      <c r="F220" s="215" t="s">
        <v>301</v>
      </c>
      <c r="G220" s="216"/>
      <c r="H220" s="216"/>
      <c r="I220" s="216"/>
      <c r="J220" s="143"/>
      <c r="K220" s="144">
        <v>18.305</v>
      </c>
      <c r="L220" s="143"/>
      <c r="M220" s="143"/>
      <c r="N220" s="143"/>
      <c r="O220" s="143"/>
      <c r="P220" s="143"/>
      <c r="Q220" s="143"/>
      <c r="R220" s="145"/>
      <c r="T220" s="146"/>
      <c r="U220" s="143"/>
      <c r="V220" s="143"/>
      <c r="W220" s="143"/>
      <c r="X220" s="143"/>
      <c r="Y220" s="143"/>
      <c r="Z220" s="143"/>
      <c r="AA220" s="147"/>
      <c r="AT220" s="148" t="s">
        <v>169</v>
      </c>
      <c r="AU220" s="148" t="s">
        <v>106</v>
      </c>
      <c r="AV220" s="148" t="s">
        <v>106</v>
      </c>
      <c r="AW220" s="148" t="s">
        <v>114</v>
      </c>
      <c r="AX220" s="148" t="s">
        <v>16</v>
      </c>
      <c r="AY220" s="148" t="s">
        <v>161</v>
      </c>
    </row>
    <row r="221" spans="2:64" s="7" customFormat="1" ht="27" customHeight="1">
      <c r="B221" s="23"/>
      <c r="C221" s="135" t="s">
        <v>302</v>
      </c>
      <c r="D221" s="135" t="s">
        <v>163</v>
      </c>
      <c r="E221" s="136" t="s">
        <v>303</v>
      </c>
      <c r="F221" s="217" t="s">
        <v>304</v>
      </c>
      <c r="G221" s="213"/>
      <c r="H221" s="213"/>
      <c r="I221" s="213"/>
      <c r="J221" s="137" t="s">
        <v>192</v>
      </c>
      <c r="K221" s="138">
        <v>0.018</v>
      </c>
      <c r="L221" s="212">
        <v>0</v>
      </c>
      <c r="M221" s="213"/>
      <c r="N221" s="214">
        <f>ROUND($L$221*$K$221,2)</f>
        <v>0</v>
      </c>
      <c r="O221" s="213"/>
      <c r="P221" s="213"/>
      <c r="Q221" s="213"/>
      <c r="R221" s="25"/>
      <c r="T221" s="139"/>
      <c r="U221" s="31" t="s">
        <v>41</v>
      </c>
      <c r="V221" s="140">
        <v>39</v>
      </c>
      <c r="W221" s="140">
        <f>$V$221*$K$221</f>
        <v>0.702</v>
      </c>
      <c r="X221" s="140">
        <v>1.05156</v>
      </c>
      <c r="Y221" s="140">
        <f>$X$221*$K$221</f>
        <v>0.01892808</v>
      </c>
      <c r="Z221" s="140">
        <v>0</v>
      </c>
      <c r="AA221" s="141">
        <f>$Z$221*$K$221</f>
        <v>0</v>
      </c>
      <c r="AR221" s="7" t="s">
        <v>167</v>
      </c>
      <c r="AT221" s="7" t="s">
        <v>163</v>
      </c>
      <c r="AU221" s="7" t="s">
        <v>106</v>
      </c>
      <c r="AY221" s="7" t="s">
        <v>161</v>
      </c>
      <c r="BE221" s="89">
        <f>IF($U$221="základní",$N$221,0)</f>
        <v>0</v>
      </c>
      <c r="BF221" s="89">
        <f>IF($U$221="snížená",$N$221,0)</f>
        <v>0</v>
      </c>
      <c r="BG221" s="89">
        <f>IF($U$221="zákl. přenesená",$N$221,0)</f>
        <v>0</v>
      </c>
      <c r="BH221" s="89">
        <f>IF($U$221="sníž. přenesená",$N$221,0)</f>
        <v>0</v>
      </c>
      <c r="BI221" s="89">
        <f>IF($U$221="nulová",$N$221,0)</f>
        <v>0</v>
      </c>
      <c r="BJ221" s="7" t="s">
        <v>16</v>
      </c>
      <c r="BK221" s="89">
        <f>ROUND($L$221*$K$221,2)</f>
        <v>0</v>
      </c>
      <c r="BL221" s="7" t="s">
        <v>167</v>
      </c>
    </row>
    <row r="222" spans="2:51" s="7" customFormat="1" ht="27" customHeight="1">
      <c r="B222" s="142"/>
      <c r="C222" s="143"/>
      <c r="D222" s="143"/>
      <c r="E222" s="143"/>
      <c r="F222" s="215" t="s">
        <v>305</v>
      </c>
      <c r="G222" s="216"/>
      <c r="H222" s="216"/>
      <c r="I222" s="216"/>
      <c r="J222" s="143"/>
      <c r="K222" s="144">
        <v>0.009</v>
      </c>
      <c r="L222" s="143"/>
      <c r="M222" s="143"/>
      <c r="N222" s="143"/>
      <c r="O222" s="143"/>
      <c r="P222" s="143"/>
      <c r="Q222" s="143"/>
      <c r="R222" s="145"/>
      <c r="T222" s="146"/>
      <c r="U222" s="143"/>
      <c r="V222" s="143"/>
      <c r="W222" s="143"/>
      <c r="X222" s="143"/>
      <c r="Y222" s="143"/>
      <c r="Z222" s="143"/>
      <c r="AA222" s="147"/>
      <c r="AT222" s="148" t="s">
        <v>169</v>
      </c>
      <c r="AU222" s="148" t="s">
        <v>106</v>
      </c>
      <c r="AV222" s="148" t="s">
        <v>106</v>
      </c>
      <c r="AW222" s="148" t="s">
        <v>114</v>
      </c>
      <c r="AX222" s="148" t="s">
        <v>76</v>
      </c>
      <c r="AY222" s="148" t="s">
        <v>161</v>
      </c>
    </row>
    <row r="223" spans="2:51" s="7" customFormat="1" ht="15.75" customHeight="1">
      <c r="B223" s="142"/>
      <c r="C223" s="143"/>
      <c r="D223" s="143"/>
      <c r="E223" s="143"/>
      <c r="F223" s="215" t="s">
        <v>306</v>
      </c>
      <c r="G223" s="216"/>
      <c r="H223" s="216"/>
      <c r="I223" s="216"/>
      <c r="J223" s="143"/>
      <c r="K223" s="144">
        <v>0.005</v>
      </c>
      <c r="L223" s="143"/>
      <c r="M223" s="143"/>
      <c r="N223" s="143"/>
      <c r="O223" s="143"/>
      <c r="P223" s="143"/>
      <c r="Q223" s="143"/>
      <c r="R223" s="145"/>
      <c r="T223" s="146"/>
      <c r="U223" s="143"/>
      <c r="V223" s="143"/>
      <c r="W223" s="143"/>
      <c r="X223" s="143"/>
      <c r="Y223" s="143"/>
      <c r="Z223" s="143"/>
      <c r="AA223" s="147"/>
      <c r="AT223" s="148" t="s">
        <v>169</v>
      </c>
      <c r="AU223" s="148" t="s">
        <v>106</v>
      </c>
      <c r="AV223" s="148" t="s">
        <v>106</v>
      </c>
      <c r="AW223" s="148" t="s">
        <v>114</v>
      </c>
      <c r="AX223" s="148" t="s">
        <v>76</v>
      </c>
      <c r="AY223" s="148" t="s">
        <v>161</v>
      </c>
    </row>
    <row r="224" spans="2:51" s="7" customFormat="1" ht="15.75" customHeight="1">
      <c r="B224" s="142"/>
      <c r="C224" s="143"/>
      <c r="D224" s="143"/>
      <c r="E224" s="143"/>
      <c r="F224" s="215" t="s">
        <v>307</v>
      </c>
      <c r="G224" s="216"/>
      <c r="H224" s="216"/>
      <c r="I224" s="216"/>
      <c r="J224" s="143"/>
      <c r="K224" s="144">
        <v>0.004</v>
      </c>
      <c r="L224" s="143"/>
      <c r="M224" s="143"/>
      <c r="N224" s="143"/>
      <c r="O224" s="143"/>
      <c r="P224" s="143"/>
      <c r="Q224" s="143"/>
      <c r="R224" s="145"/>
      <c r="T224" s="146"/>
      <c r="U224" s="143"/>
      <c r="V224" s="143"/>
      <c r="W224" s="143"/>
      <c r="X224" s="143"/>
      <c r="Y224" s="143"/>
      <c r="Z224" s="143"/>
      <c r="AA224" s="147"/>
      <c r="AT224" s="148" t="s">
        <v>169</v>
      </c>
      <c r="AU224" s="148" t="s">
        <v>106</v>
      </c>
      <c r="AV224" s="148" t="s">
        <v>106</v>
      </c>
      <c r="AW224" s="148" t="s">
        <v>114</v>
      </c>
      <c r="AX224" s="148" t="s">
        <v>76</v>
      </c>
      <c r="AY224" s="148" t="s">
        <v>161</v>
      </c>
    </row>
    <row r="225" spans="2:51" s="7" customFormat="1" ht="15.75" customHeight="1">
      <c r="B225" s="149"/>
      <c r="C225" s="150"/>
      <c r="D225" s="150"/>
      <c r="E225" s="150"/>
      <c r="F225" s="223" t="s">
        <v>178</v>
      </c>
      <c r="G225" s="224"/>
      <c r="H225" s="224"/>
      <c r="I225" s="224"/>
      <c r="J225" s="150"/>
      <c r="K225" s="151">
        <v>0.018</v>
      </c>
      <c r="L225" s="150"/>
      <c r="M225" s="150"/>
      <c r="N225" s="150"/>
      <c r="O225" s="150"/>
      <c r="P225" s="150"/>
      <c r="Q225" s="150"/>
      <c r="R225" s="152"/>
      <c r="T225" s="153"/>
      <c r="U225" s="150"/>
      <c r="V225" s="150"/>
      <c r="W225" s="150"/>
      <c r="X225" s="150"/>
      <c r="Y225" s="150"/>
      <c r="Z225" s="150"/>
      <c r="AA225" s="154"/>
      <c r="AT225" s="155" t="s">
        <v>169</v>
      </c>
      <c r="AU225" s="155" t="s">
        <v>106</v>
      </c>
      <c r="AV225" s="155" t="s">
        <v>167</v>
      </c>
      <c r="AW225" s="155" t="s">
        <v>114</v>
      </c>
      <c r="AX225" s="155" t="s">
        <v>16</v>
      </c>
      <c r="AY225" s="155" t="s">
        <v>161</v>
      </c>
    </row>
    <row r="226" spans="2:64" s="7" customFormat="1" ht="27" customHeight="1">
      <c r="B226" s="23"/>
      <c r="C226" s="135" t="s">
        <v>308</v>
      </c>
      <c r="D226" s="135" t="s">
        <v>163</v>
      </c>
      <c r="E226" s="136" t="s">
        <v>309</v>
      </c>
      <c r="F226" s="217" t="s">
        <v>310</v>
      </c>
      <c r="G226" s="213"/>
      <c r="H226" s="213"/>
      <c r="I226" s="213"/>
      <c r="J226" s="137" t="s">
        <v>192</v>
      </c>
      <c r="K226" s="138">
        <v>0.133</v>
      </c>
      <c r="L226" s="212">
        <v>0</v>
      </c>
      <c r="M226" s="213"/>
      <c r="N226" s="214">
        <f>ROUND($L$226*$K$226,2)</f>
        <v>0</v>
      </c>
      <c r="O226" s="213"/>
      <c r="P226" s="213"/>
      <c r="Q226" s="213"/>
      <c r="R226" s="25"/>
      <c r="T226" s="139"/>
      <c r="U226" s="31" t="s">
        <v>41</v>
      </c>
      <c r="V226" s="140">
        <v>37.704</v>
      </c>
      <c r="W226" s="140">
        <f>$V$226*$K$226</f>
        <v>5.014632000000001</v>
      </c>
      <c r="X226" s="140">
        <v>1.05256</v>
      </c>
      <c r="Y226" s="140">
        <f>$X$226*$K$226</f>
        <v>0.13999048</v>
      </c>
      <c r="Z226" s="140">
        <v>0</v>
      </c>
      <c r="AA226" s="141">
        <f>$Z$226*$K$226</f>
        <v>0</v>
      </c>
      <c r="AR226" s="7" t="s">
        <v>167</v>
      </c>
      <c r="AT226" s="7" t="s">
        <v>163</v>
      </c>
      <c r="AU226" s="7" t="s">
        <v>106</v>
      </c>
      <c r="AY226" s="7" t="s">
        <v>161</v>
      </c>
      <c r="BE226" s="89">
        <f>IF($U$226="základní",$N$226,0)</f>
        <v>0</v>
      </c>
      <c r="BF226" s="89">
        <f>IF($U$226="snížená",$N$226,0)</f>
        <v>0</v>
      </c>
      <c r="BG226" s="89">
        <f>IF($U$226="zákl. přenesená",$N$226,0)</f>
        <v>0</v>
      </c>
      <c r="BH226" s="89">
        <f>IF($U$226="sníž. přenesená",$N$226,0)</f>
        <v>0</v>
      </c>
      <c r="BI226" s="89">
        <f>IF($U$226="nulová",$N$226,0)</f>
        <v>0</v>
      </c>
      <c r="BJ226" s="7" t="s">
        <v>16</v>
      </c>
      <c r="BK226" s="89">
        <f>ROUND($L$226*$K$226,2)</f>
        <v>0</v>
      </c>
      <c r="BL226" s="7" t="s">
        <v>167</v>
      </c>
    </row>
    <row r="227" spans="2:51" s="7" customFormat="1" ht="15.75" customHeight="1">
      <c r="B227" s="142"/>
      <c r="C227" s="143"/>
      <c r="D227" s="143"/>
      <c r="E227" s="143"/>
      <c r="F227" s="215" t="s">
        <v>311</v>
      </c>
      <c r="G227" s="216"/>
      <c r="H227" s="216"/>
      <c r="I227" s="216"/>
      <c r="J227" s="143"/>
      <c r="K227" s="144">
        <v>0.058</v>
      </c>
      <c r="L227" s="143"/>
      <c r="M227" s="143"/>
      <c r="N227" s="143"/>
      <c r="O227" s="143"/>
      <c r="P227" s="143"/>
      <c r="Q227" s="143"/>
      <c r="R227" s="145"/>
      <c r="T227" s="146"/>
      <c r="U227" s="143"/>
      <c r="V227" s="143"/>
      <c r="W227" s="143"/>
      <c r="X227" s="143"/>
      <c r="Y227" s="143"/>
      <c r="Z227" s="143"/>
      <c r="AA227" s="147"/>
      <c r="AT227" s="148" t="s">
        <v>169</v>
      </c>
      <c r="AU227" s="148" t="s">
        <v>106</v>
      </c>
      <c r="AV227" s="148" t="s">
        <v>106</v>
      </c>
      <c r="AW227" s="148" t="s">
        <v>114</v>
      </c>
      <c r="AX227" s="148" t="s">
        <v>76</v>
      </c>
      <c r="AY227" s="148" t="s">
        <v>161</v>
      </c>
    </row>
    <row r="228" spans="2:51" s="7" customFormat="1" ht="15.75" customHeight="1">
      <c r="B228" s="142"/>
      <c r="C228" s="143"/>
      <c r="D228" s="143"/>
      <c r="E228" s="143"/>
      <c r="F228" s="215" t="s">
        <v>312</v>
      </c>
      <c r="G228" s="216"/>
      <c r="H228" s="216"/>
      <c r="I228" s="216"/>
      <c r="J228" s="143"/>
      <c r="K228" s="144">
        <v>0.036</v>
      </c>
      <c r="L228" s="143"/>
      <c r="M228" s="143"/>
      <c r="N228" s="143"/>
      <c r="O228" s="143"/>
      <c r="P228" s="143"/>
      <c r="Q228" s="143"/>
      <c r="R228" s="145"/>
      <c r="T228" s="146"/>
      <c r="U228" s="143"/>
      <c r="V228" s="143"/>
      <c r="W228" s="143"/>
      <c r="X228" s="143"/>
      <c r="Y228" s="143"/>
      <c r="Z228" s="143"/>
      <c r="AA228" s="147"/>
      <c r="AT228" s="148" t="s">
        <v>169</v>
      </c>
      <c r="AU228" s="148" t="s">
        <v>106</v>
      </c>
      <c r="AV228" s="148" t="s">
        <v>106</v>
      </c>
      <c r="AW228" s="148" t="s">
        <v>114</v>
      </c>
      <c r="AX228" s="148" t="s">
        <v>76</v>
      </c>
      <c r="AY228" s="148" t="s">
        <v>161</v>
      </c>
    </row>
    <row r="229" spans="2:51" s="7" customFormat="1" ht="15.75" customHeight="1">
      <c r="B229" s="142"/>
      <c r="C229" s="143"/>
      <c r="D229" s="143"/>
      <c r="E229" s="143"/>
      <c r="F229" s="215" t="s">
        <v>313</v>
      </c>
      <c r="G229" s="216"/>
      <c r="H229" s="216"/>
      <c r="I229" s="216"/>
      <c r="J229" s="143"/>
      <c r="K229" s="144">
        <v>0.039</v>
      </c>
      <c r="L229" s="143"/>
      <c r="M229" s="143"/>
      <c r="N229" s="143"/>
      <c r="O229" s="143"/>
      <c r="P229" s="143"/>
      <c r="Q229" s="143"/>
      <c r="R229" s="145"/>
      <c r="T229" s="146"/>
      <c r="U229" s="143"/>
      <c r="V229" s="143"/>
      <c r="W229" s="143"/>
      <c r="X229" s="143"/>
      <c r="Y229" s="143"/>
      <c r="Z229" s="143"/>
      <c r="AA229" s="147"/>
      <c r="AT229" s="148" t="s">
        <v>169</v>
      </c>
      <c r="AU229" s="148" t="s">
        <v>106</v>
      </c>
      <c r="AV229" s="148" t="s">
        <v>106</v>
      </c>
      <c r="AW229" s="148" t="s">
        <v>114</v>
      </c>
      <c r="AX229" s="148" t="s">
        <v>76</v>
      </c>
      <c r="AY229" s="148" t="s">
        <v>161</v>
      </c>
    </row>
    <row r="230" spans="2:51" s="7" customFormat="1" ht="15.75" customHeight="1">
      <c r="B230" s="149"/>
      <c r="C230" s="150"/>
      <c r="D230" s="150"/>
      <c r="E230" s="150"/>
      <c r="F230" s="223" t="s">
        <v>178</v>
      </c>
      <c r="G230" s="224"/>
      <c r="H230" s="224"/>
      <c r="I230" s="224"/>
      <c r="J230" s="150"/>
      <c r="K230" s="151">
        <v>0.133</v>
      </c>
      <c r="L230" s="150"/>
      <c r="M230" s="150"/>
      <c r="N230" s="150"/>
      <c r="O230" s="150"/>
      <c r="P230" s="150"/>
      <c r="Q230" s="150"/>
      <c r="R230" s="152"/>
      <c r="T230" s="153"/>
      <c r="U230" s="150"/>
      <c r="V230" s="150"/>
      <c r="W230" s="150"/>
      <c r="X230" s="150"/>
      <c r="Y230" s="150"/>
      <c r="Z230" s="150"/>
      <c r="AA230" s="154"/>
      <c r="AT230" s="155" t="s">
        <v>169</v>
      </c>
      <c r="AU230" s="155" t="s">
        <v>106</v>
      </c>
      <c r="AV230" s="155" t="s">
        <v>167</v>
      </c>
      <c r="AW230" s="155" t="s">
        <v>114</v>
      </c>
      <c r="AX230" s="155" t="s">
        <v>16</v>
      </c>
      <c r="AY230" s="155" t="s">
        <v>161</v>
      </c>
    </row>
    <row r="231" spans="2:63" s="124" customFormat="1" ht="30.75" customHeight="1">
      <c r="B231" s="125"/>
      <c r="C231" s="126"/>
      <c r="D231" s="134" t="s">
        <v>120</v>
      </c>
      <c r="E231" s="126"/>
      <c r="F231" s="126"/>
      <c r="G231" s="126"/>
      <c r="H231" s="126"/>
      <c r="I231" s="126"/>
      <c r="J231" s="126"/>
      <c r="K231" s="126"/>
      <c r="L231" s="126"/>
      <c r="M231" s="126"/>
      <c r="N231" s="206">
        <f>$BK$231</f>
        <v>0</v>
      </c>
      <c r="O231" s="207"/>
      <c r="P231" s="207"/>
      <c r="Q231" s="207"/>
      <c r="R231" s="128"/>
      <c r="T231" s="129"/>
      <c r="U231" s="126"/>
      <c r="V231" s="126"/>
      <c r="W231" s="130">
        <f>SUM($W$232:$W$317)</f>
        <v>477.7299669999999</v>
      </c>
      <c r="X231" s="126"/>
      <c r="Y231" s="130">
        <f>SUM($Y$232:$Y$317)</f>
        <v>66.71411385</v>
      </c>
      <c r="Z231" s="126"/>
      <c r="AA231" s="131">
        <f>SUM($AA$232:$AA$317)</f>
        <v>0</v>
      </c>
      <c r="AR231" s="132" t="s">
        <v>16</v>
      </c>
      <c r="AT231" s="132" t="s">
        <v>75</v>
      </c>
      <c r="AU231" s="132" t="s">
        <v>16</v>
      </c>
      <c r="AY231" s="132" t="s">
        <v>161</v>
      </c>
      <c r="BK231" s="133">
        <f>SUM($BK$232:$BK$317)</f>
        <v>0</v>
      </c>
    </row>
    <row r="232" spans="2:64" s="7" customFormat="1" ht="15.75" customHeight="1">
      <c r="B232" s="23"/>
      <c r="C232" s="135" t="s">
        <v>314</v>
      </c>
      <c r="D232" s="135" t="s">
        <v>163</v>
      </c>
      <c r="E232" s="136" t="s">
        <v>315</v>
      </c>
      <c r="F232" s="217" t="s">
        <v>316</v>
      </c>
      <c r="G232" s="213"/>
      <c r="H232" s="213"/>
      <c r="I232" s="213"/>
      <c r="J232" s="137" t="s">
        <v>214</v>
      </c>
      <c r="K232" s="138">
        <v>5.642</v>
      </c>
      <c r="L232" s="212">
        <v>0</v>
      </c>
      <c r="M232" s="213"/>
      <c r="N232" s="214">
        <f>ROUND($L$232*$K$232,2)</f>
        <v>0</v>
      </c>
      <c r="O232" s="213"/>
      <c r="P232" s="213"/>
      <c r="Q232" s="213"/>
      <c r="R232" s="25"/>
      <c r="T232" s="139"/>
      <c r="U232" s="31" t="s">
        <v>41</v>
      </c>
      <c r="V232" s="140">
        <v>0.27</v>
      </c>
      <c r="W232" s="140">
        <f>$V$232*$K$232</f>
        <v>1.5233400000000001</v>
      </c>
      <c r="X232" s="140">
        <v>0.00094</v>
      </c>
      <c r="Y232" s="140">
        <f>$X$232*$K$232</f>
        <v>0.00530348</v>
      </c>
      <c r="Z232" s="140">
        <v>0</v>
      </c>
      <c r="AA232" s="141">
        <f>$Z$232*$K$232</f>
        <v>0</v>
      </c>
      <c r="AR232" s="7" t="s">
        <v>167</v>
      </c>
      <c r="AT232" s="7" t="s">
        <v>163</v>
      </c>
      <c r="AU232" s="7" t="s">
        <v>106</v>
      </c>
      <c r="AY232" s="7" t="s">
        <v>161</v>
      </c>
      <c r="BE232" s="89">
        <f>IF($U$232="základní",$N$232,0)</f>
        <v>0</v>
      </c>
      <c r="BF232" s="89">
        <f>IF($U$232="snížená",$N$232,0)</f>
        <v>0</v>
      </c>
      <c r="BG232" s="89">
        <f>IF($U$232="zákl. přenesená",$N$232,0)</f>
        <v>0</v>
      </c>
      <c r="BH232" s="89">
        <f>IF($U$232="sníž. přenesená",$N$232,0)</f>
        <v>0</v>
      </c>
      <c r="BI232" s="89">
        <f>IF($U$232="nulová",$N$232,0)</f>
        <v>0</v>
      </c>
      <c r="BJ232" s="7" t="s">
        <v>16</v>
      </c>
      <c r="BK232" s="89">
        <f>ROUND($L$232*$K$232,2)</f>
        <v>0</v>
      </c>
      <c r="BL232" s="7" t="s">
        <v>167</v>
      </c>
    </row>
    <row r="233" spans="2:51" s="7" customFormat="1" ht="15.75" customHeight="1">
      <c r="B233" s="142"/>
      <c r="C233" s="143"/>
      <c r="D233" s="143"/>
      <c r="E233" s="143"/>
      <c r="F233" s="215" t="s">
        <v>317</v>
      </c>
      <c r="G233" s="216"/>
      <c r="H233" s="216"/>
      <c r="I233" s="216"/>
      <c r="J233" s="143"/>
      <c r="K233" s="144">
        <v>5.642</v>
      </c>
      <c r="L233" s="143"/>
      <c r="M233" s="143"/>
      <c r="N233" s="143"/>
      <c r="O233" s="143"/>
      <c r="P233" s="143"/>
      <c r="Q233" s="143"/>
      <c r="R233" s="145"/>
      <c r="T233" s="146"/>
      <c r="U233" s="143"/>
      <c r="V233" s="143"/>
      <c r="W233" s="143"/>
      <c r="X233" s="143"/>
      <c r="Y233" s="143"/>
      <c r="Z233" s="143"/>
      <c r="AA233" s="147"/>
      <c r="AT233" s="148" t="s">
        <v>169</v>
      </c>
      <c r="AU233" s="148" t="s">
        <v>106</v>
      </c>
      <c r="AV233" s="148" t="s">
        <v>106</v>
      </c>
      <c r="AW233" s="148" t="s">
        <v>114</v>
      </c>
      <c r="AX233" s="148" t="s">
        <v>16</v>
      </c>
      <c r="AY233" s="148" t="s">
        <v>161</v>
      </c>
    </row>
    <row r="234" spans="2:64" s="7" customFormat="1" ht="27" customHeight="1">
      <c r="B234" s="23"/>
      <c r="C234" s="135" t="s">
        <v>318</v>
      </c>
      <c r="D234" s="135" t="s">
        <v>163</v>
      </c>
      <c r="E234" s="136" t="s">
        <v>319</v>
      </c>
      <c r="F234" s="217" t="s">
        <v>320</v>
      </c>
      <c r="G234" s="213"/>
      <c r="H234" s="213"/>
      <c r="I234" s="213"/>
      <c r="J234" s="137" t="s">
        <v>214</v>
      </c>
      <c r="K234" s="138">
        <v>5.642</v>
      </c>
      <c r="L234" s="212">
        <v>0</v>
      </c>
      <c r="M234" s="213"/>
      <c r="N234" s="214">
        <f>ROUND($L$234*$K$234,2)</f>
        <v>0</v>
      </c>
      <c r="O234" s="213"/>
      <c r="P234" s="213"/>
      <c r="Q234" s="213"/>
      <c r="R234" s="25"/>
      <c r="T234" s="139"/>
      <c r="U234" s="31" t="s">
        <v>41</v>
      </c>
      <c r="V234" s="140">
        <v>0.62</v>
      </c>
      <c r="W234" s="140">
        <f>$V$234*$K$234</f>
        <v>3.49804</v>
      </c>
      <c r="X234" s="140">
        <v>0.01838</v>
      </c>
      <c r="Y234" s="140">
        <f>$X$234*$K$234</f>
        <v>0.10369996000000001</v>
      </c>
      <c r="Z234" s="140">
        <v>0</v>
      </c>
      <c r="AA234" s="141">
        <f>$Z$234*$K$234</f>
        <v>0</v>
      </c>
      <c r="AR234" s="7" t="s">
        <v>167</v>
      </c>
      <c r="AT234" s="7" t="s">
        <v>163</v>
      </c>
      <c r="AU234" s="7" t="s">
        <v>106</v>
      </c>
      <c r="AY234" s="7" t="s">
        <v>161</v>
      </c>
      <c r="BE234" s="89">
        <f>IF($U$234="základní",$N$234,0)</f>
        <v>0</v>
      </c>
      <c r="BF234" s="89">
        <f>IF($U$234="snížená",$N$234,0)</f>
        <v>0</v>
      </c>
      <c r="BG234" s="89">
        <f>IF($U$234="zákl. přenesená",$N$234,0)</f>
        <v>0</v>
      </c>
      <c r="BH234" s="89">
        <f>IF($U$234="sníž. přenesená",$N$234,0)</f>
        <v>0</v>
      </c>
      <c r="BI234" s="89">
        <f>IF($U$234="nulová",$N$234,0)</f>
        <v>0</v>
      </c>
      <c r="BJ234" s="7" t="s">
        <v>16</v>
      </c>
      <c r="BK234" s="89">
        <f>ROUND($L$234*$K$234,2)</f>
        <v>0</v>
      </c>
      <c r="BL234" s="7" t="s">
        <v>167</v>
      </c>
    </row>
    <row r="235" spans="2:64" s="7" customFormat="1" ht="27" customHeight="1">
      <c r="B235" s="23"/>
      <c r="C235" s="135" t="s">
        <v>321</v>
      </c>
      <c r="D235" s="135" t="s">
        <v>163</v>
      </c>
      <c r="E235" s="136" t="s">
        <v>322</v>
      </c>
      <c r="F235" s="217" t="s">
        <v>323</v>
      </c>
      <c r="G235" s="213"/>
      <c r="H235" s="213"/>
      <c r="I235" s="213"/>
      <c r="J235" s="137" t="s">
        <v>214</v>
      </c>
      <c r="K235" s="138">
        <v>179.882</v>
      </c>
      <c r="L235" s="212">
        <v>0</v>
      </c>
      <c r="M235" s="213"/>
      <c r="N235" s="214">
        <f>ROUND($L$235*$K$235,2)</f>
        <v>0</v>
      </c>
      <c r="O235" s="213"/>
      <c r="P235" s="213"/>
      <c r="Q235" s="213"/>
      <c r="R235" s="25"/>
      <c r="T235" s="139"/>
      <c r="U235" s="31" t="s">
        <v>41</v>
      </c>
      <c r="V235" s="140">
        <v>0.117</v>
      </c>
      <c r="W235" s="140">
        <f>$V$235*$K$235</f>
        <v>21.046194000000003</v>
      </c>
      <c r="X235" s="140">
        <v>0.00735</v>
      </c>
      <c r="Y235" s="140">
        <f>$X$235*$K$235</f>
        <v>1.3221327</v>
      </c>
      <c r="Z235" s="140">
        <v>0</v>
      </c>
      <c r="AA235" s="141">
        <f>$Z$235*$K$235</f>
        <v>0</v>
      </c>
      <c r="AR235" s="7" t="s">
        <v>167</v>
      </c>
      <c r="AT235" s="7" t="s">
        <v>163</v>
      </c>
      <c r="AU235" s="7" t="s">
        <v>106</v>
      </c>
      <c r="AY235" s="7" t="s">
        <v>161</v>
      </c>
      <c r="BE235" s="89">
        <f>IF($U$235="základní",$N$235,0)</f>
        <v>0</v>
      </c>
      <c r="BF235" s="89">
        <f>IF($U$235="snížená",$N$235,0)</f>
        <v>0</v>
      </c>
      <c r="BG235" s="89">
        <f>IF($U$235="zákl. přenesená",$N$235,0)</f>
        <v>0</v>
      </c>
      <c r="BH235" s="89">
        <f>IF($U$235="sníž. přenesená",$N$235,0)</f>
        <v>0</v>
      </c>
      <c r="BI235" s="89">
        <f>IF($U$235="nulová",$N$235,0)</f>
        <v>0</v>
      </c>
      <c r="BJ235" s="7" t="s">
        <v>16</v>
      </c>
      <c r="BK235" s="89">
        <f>ROUND($L$235*$K$235,2)</f>
        <v>0</v>
      </c>
      <c r="BL235" s="7" t="s">
        <v>167</v>
      </c>
    </row>
    <row r="236" spans="2:51" s="7" customFormat="1" ht="15.75" customHeight="1">
      <c r="B236" s="142"/>
      <c r="C236" s="143"/>
      <c r="D236" s="143"/>
      <c r="E236" s="143"/>
      <c r="F236" s="215" t="s">
        <v>324</v>
      </c>
      <c r="G236" s="216"/>
      <c r="H236" s="216"/>
      <c r="I236" s="216"/>
      <c r="J236" s="143"/>
      <c r="K236" s="144">
        <v>84.288</v>
      </c>
      <c r="L236" s="143"/>
      <c r="M236" s="143"/>
      <c r="N236" s="143"/>
      <c r="O236" s="143"/>
      <c r="P236" s="143"/>
      <c r="Q236" s="143"/>
      <c r="R236" s="145"/>
      <c r="T236" s="146"/>
      <c r="U236" s="143"/>
      <c r="V236" s="143"/>
      <c r="W236" s="143"/>
      <c r="X236" s="143"/>
      <c r="Y236" s="143"/>
      <c r="Z236" s="143"/>
      <c r="AA236" s="147"/>
      <c r="AT236" s="148" t="s">
        <v>169</v>
      </c>
      <c r="AU236" s="148" t="s">
        <v>106</v>
      </c>
      <c r="AV236" s="148" t="s">
        <v>106</v>
      </c>
      <c r="AW236" s="148" t="s">
        <v>114</v>
      </c>
      <c r="AX236" s="148" t="s">
        <v>76</v>
      </c>
      <c r="AY236" s="148" t="s">
        <v>161</v>
      </c>
    </row>
    <row r="237" spans="2:51" s="7" customFormat="1" ht="15.75" customHeight="1">
      <c r="B237" s="142"/>
      <c r="C237" s="143"/>
      <c r="D237" s="143"/>
      <c r="E237" s="143"/>
      <c r="F237" s="215" t="s">
        <v>325</v>
      </c>
      <c r="G237" s="216"/>
      <c r="H237" s="216"/>
      <c r="I237" s="216"/>
      <c r="J237" s="143"/>
      <c r="K237" s="144">
        <v>95.594</v>
      </c>
      <c r="L237" s="143"/>
      <c r="M237" s="143"/>
      <c r="N237" s="143"/>
      <c r="O237" s="143"/>
      <c r="P237" s="143"/>
      <c r="Q237" s="143"/>
      <c r="R237" s="145"/>
      <c r="T237" s="146"/>
      <c r="U237" s="143"/>
      <c r="V237" s="143"/>
      <c r="W237" s="143"/>
      <c r="X237" s="143"/>
      <c r="Y237" s="143"/>
      <c r="Z237" s="143"/>
      <c r="AA237" s="147"/>
      <c r="AT237" s="148" t="s">
        <v>169</v>
      </c>
      <c r="AU237" s="148" t="s">
        <v>106</v>
      </c>
      <c r="AV237" s="148" t="s">
        <v>106</v>
      </c>
      <c r="AW237" s="148" t="s">
        <v>114</v>
      </c>
      <c r="AX237" s="148" t="s">
        <v>76</v>
      </c>
      <c r="AY237" s="148" t="s">
        <v>161</v>
      </c>
    </row>
    <row r="238" spans="2:51" s="7" customFormat="1" ht="15.75" customHeight="1">
      <c r="B238" s="149"/>
      <c r="C238" s="150"/>
      <c r="D238" s="150"/>
      <c r="E238" s="150"/>
      <c r="F238" s="223" t="s">
        <v>178</v>
      </c>
      <c r="G238" s="224"/>
      <c r="H238" s="224"/>
      <c r="I238" s="224"/>
      <c r="J238" s="150"/>
      <c r="K238" s="151">
        <v>179.882</v>
      </c>
      <c r="L238" s="150"/>
      <c r="M238" s="150"/>
      <c r="N238" s="150"/>
      <c r="O238" s="150"/>
      <c r="P238" s="150"/>
      <c r="Q238" s="150"/>
      <c r="R238" s="152"/>
      <c r="T238" s="153"/>
      <c r="U238" s="150"/>
      <c r="V238" s="150"/>
      <c r="W238" s="150"/>
      <c r="X238" s="150"/>
      <c r="Y238" s="150"/>
      <c r="Z238" s="150"/>
      <c r="AA238" s="154"/>
      <c r="AT238" s="155" t="s">
        <v>169</v>
      </c>
      <c r="AU238" s="155" t="s">
        <v>106</v>
      </c>
      <c r="AV238" s="155" t="s">
        <v>167</v>
      </c>
      <c r="AW238" s="155" t="s">
        <v>114</v>
      </c>
      <c r="AX238" s="155" t="s">
        <v>16</v>
      </c>
      <c r="AY238" s="155" t="s">
        <v>161</v>
      </c>
    </row>
    <row r="239" spans="2:64" s="7" customFormat="1" ht="27" customHeight="1">
      <c r="B239" s="23"/>
      <c r="C239" s="135" t="s">
        <v>326</v>
      </c>
      <c r="D239" s="135" t="s">
        <v>163</v>
      </c>
      <c r="E239" s="136" t="s">
        <v>327</v>
      </c>
      <c r="F239" s="217" t="s">
        <v>328</v>
      </c>
      <c r="G239" s="213"/>
      <c r="H239" s="213"/>
      <c r="I239" s="213"/>
      <c r="J239" s="137" t="s">
        <v>214</v>
      </c>
      <c r="K239" s="138">
        <v>313.952</v>
      </c>
      <c r="L239" s="212">
        <v>0</v>
      </c>
      <c r="M239" s="213"/>
      <c r="N239" s="214">
        <f>ROUND($L$239*$K$239,2)</f>
        <v>0</v>
      </c>
      <c r="O239" s="213"/>
      <c r="P239" s="213"/>
      <c r="Q239" s="213"/>
      <c r="R239" s="25"/>
      <c r="T239" s="139"/>
      <c r="U239" s="31" t="s">
        <v>41</v>
      </c>
      <c r="V239" s="140">
        <v>0.47</v>
      </c>
      <c r="W239" s="140">
        <f>$V$239*$K$239</f>
        <v>147.55743999999999</v>
      </c>
      <c r="X239" s="140">
        <v>0.01838</v>
      </c>
      <c r="Y239" s="140">
        <f>$X$239*$K$239</f>
        <v>5.77043776</v>
      </c>
      <c r="Z239" s="140">
        <v>0</v>
      </c>
      <c r="AA239" s="141">
        <f>$Z$239*$K$239</f>
        <v>0</v>
      </c>
      <c r="AR239" s="7" t="s">
        <v>167</v>
      </c>
      <c r="AT239" s="7" t="s">
        <v>163</v>
      </c>
      <c r="AU239" s="7" t="s">
        <v>106</v>
      </c>
      <c r="AY239" s="7" t="s">
        <v>161</v>
      </c>
      <c r="BE239" s="89">
        <f>IF($U$239="základní",$N$239,0)</f>
        <v>0</v>
      </c>
      <c r="BF239" s="89">
        <f>IF($U$239="snížená",$N$239,0)</f>
        <v>0</v>
      </c>
      <c r="BG239" s="89">
        <f>IF($U$239="zákl. přenesená",$N$239,0)</f>
        <v>0</v>
      </c>
      <c r="BH239" s="89">
        <f>IF($U$239="sníž. přenesená",$N$239,0)</f>
        <v>0</v>
      </c>
      <c r="BI239" s="89">
        <f>IF($U$239="nulová",$N$239,0)</f>
        <v>0</v>
      </c>
      <c r="BJ239" s="7" t="s">
        <v>16</v>
      </c>
      <c r="BK239" s="89">
        <f>ROUND($L$239*$K$239,2)</f>
        <v>0</v>
      </c>
      <c r="BL239" s="7" t="s">
        <v>167</v>
      </c>
    </row>
    <row r="240" spans="2:51" s="7" customFormat="1" ht="27" customHeight="1">
      <c r="B240" s="142"/>
      <c r="C240" s="143"/>
      <c r="D240" s="143"/>
      <c r="E240" s="143"/>
      <c r="F240" s="215" t="s">
        <v>329</v>
      </c>
      <c r="G240" s="216"/>
      <c r="H240" s="216"/>
      <c r="I240" s="216"/>
      <c r="J240" s="143"/>
      <c r="K240" s="144">
        <v>84.288</v>
      </c>
      <c r="L240" s="143"/>
      <c r="M240" s="143"/>
      <c r="N240" s="143"/>
      <c r="O240" s="143"/>
      <c r="P240" s="143"/>
      <c r="Q240" s="143"/>
      <c r="R240" s="145"/>
      <c r="T240" s="146"/>
      <c r="U240" s="143"/>
      <c r="V240" s="143"/>
      <c r="W240" s="143"/>
      <c r="X240" s="143"/>
      <c r="Y240" s="143"/>
      <c r="Z240" s="143"/>
      <c r="AA240" s="147"/>
      <c r="AT240" s="148" t="s">
        <v>169</v>
      </c>
      <c r="AU240" s="148" t="s">
        <v>106</v>
      </c>
      <c r="AV240" s="148" t="s">
        <v>106</v>
      </c>
      <c r="AW240" s="148" t="s">
        <v>114</v>
      </c>
      <c r="AX240" s="148" t="s">
        <v>76</v>
      </c>
      <c r="AY240" s="148" t="s">
        <v>161</v>
      </c>
    </row>
    <row r="241" spans="2:51" s="7" customFormat="1" ht="15.75" customHeight="1">
      <c r="B241" s="142"/>
      <c r="C241" s="143"/>
      <c r="D241" s="143"/>
      <c r="E241" s="143"/>
      <c r="F241" s="215" t="s">
        <v>330</v>
      </c>
      <c r="G241" s="216"/>
      <c r="H241" s="216"/>
      <c r="I241" s="216"/>
      <c r="J241" s="143"/>
      <c r="K241" s="144">
        <v>129.264</v>
      </c>
      <c r="L241" s="143"/>
      <c r="M241" s="143"/>
      <c r="N241" s="143"/>
      <c r="O241" s="143"/>
      <c r="P241" s="143"/>
      <c r="Q241" s="143"/>
      <c r="R241" s="145"/>
      <c r="T241" s="146"/>
      <c r="U241" s="143"/>
      <c r="V241" s="143"/>
      <c r="W241" s="143"/>
      <c r="X241" s="143"/>
      <c r="Y241" s="143"/>
      <c r="Z241" s="143"/>
      <c r="AA241" s="147"/>
      <c r="AT241" s="148" t="s">
        <v>169</v>
      </c>
      <c r="AU241" s="148" t="s">
        <v>106</v>
      </c>
      <c r="AV241" s="148" t="s">
        <v>106</v>
      </c>
      <c r="AW241" s="148" t="s">
        <v>114</v>
      </c>
      <c r="AX241" s="148" t="s">
        <v>76</v>
      </c>
      <c r="AY241" s="148" t="s">
        <v>161</v>
      </c>
    </row>
    <row r="242" spans="2:51" s="7" customFormat="1" ht="27" customHeight="1">
      <c r="B242" s="142"/>
      <c r="C242" s="143"/>
      <c r="D242" s="143"/>
      <c r="E242" s="143"/>
      <c r="F242" s="215" t="s">
        <v>331</v>
      </c>
      <c r="G242" s="216"/>
      <c r="H242" s="216"/>
      <c r="I242" s="216"/>
      <c r="J242" s="143"/>
      <c r="K242" s="144">
        <v>100.4</v>
      </c>
      <c r="L242" s="143"/>
      <c r="M242" s="143"/>
      <c r="N242" s="143"/>
      <c r="O242" s="143"/>
      <c r="P242" s="143"/>
      <c r="Q242" s="143"/>
      <c r="R242" s="145"/>
      <c r="T242" s="146"/>
      <c r="U242" s="143"/>
      <c r="V242" s="143"/>
      <c r="W242" s="143"/>
      <c r="X242" s="143"/>
      <c r="Y242" s="143"/>
      <c r="Z242" s="143"/>
      <c r="AA242" s="147"/>
      <c r="AT242" s="148" t="s">
        <v>169</v>
      </c>
      <c r="AU242" s="148" t="s">
        <v>106</v>
      </c>
      <c r="AV242" s="148" t="s">
        <v>106</v>
      </c>
      <c r="AW242" s="148" t="s">
        <v>114</v>
      </c>
      <c r="AX242" s="148" t="s">
        <v>76</v>
      </c>
      <c r="AY242" s="148" t="s">
        <v>161</v>
      </c>
    </row>
    <row r="243" spans="2:51" s="7" customFormat="1" ht="15.75" customHeight="1">
      <c r="B243" s="149"/>
      <c r="C243" s="150"/>
      <c r="D243" s="150"/>
      <c r="E243" s="150"/>
      <c r="F243" s="223" t="s">
        <v>178</v>
      </c>
      <c r="G243" s="224"/>
      <c r="H243" s="224"/>
      <c r="I243" s="224"/>
      <c r="J243" s="150"/>
      <c r="K243" s="151">
        <v>313.952</v>
      </c>
      <c r="L243" s="150"/>
      <c r="M243" s="150"/>
      <c r="N243" s="150"/>
      <c r="O243" s="150"/>
      <c r="P243" s="150"/>
      <c r="Q243" s="150"/>
      <c r="R243" s="152"/>
      <c r="T243" s="153"/>
      <c r="U243" s="150"/>
      <c r="V243" s="150"/>
      <c r="W243" s="150"/>
      <c r="X243" s="150"/>
      <c r="Y243" s="150"/>
      <c r="Z243" s="150"/>
      <c r="AA243" s="154"/>
      <c r="AT243" s="155" t="s">
        <v>169</v>
      </c>
      <c r="AU243" s="155" t="s">
        <v>106</v>
      </c>
      <c r="AV243" s="155" t="s">
        <v>167</v>
      </c>
      <c r="AW243" s="155" t="s">
        <v>114</v>
      </c>
      <c r="AX243" s="155" t="s">
        <v>16</v>
      </c>
      <c r="AY243" s="155" t="s">
        <v>161</v>
      </c>
    </row>
    <row r="244" spans="2:64" s="7" customFormat="1" ht="15.75" customHeight="1">
      <c r="B244" s="23"/>
      <c r="C244" s="135" t="s">
        <v>332</v>
      </c>
      <c r="D244" s="135" t="s">
        <v>163</v>
      </c>
      <c r="E244" s="136" t="s">
        <v>333</v>
      </c>
      <c r="F244" s="217" t="s">
        <v>334</v>
      </c>
      <c r="G244" s="213"/>
      <c r="H244" s="213"/>
      <c r="I244" s="213"/>
      <c r="J244" s="137" t="s">
        <v>214</v>
      </c>
      <c r="K244" s="138">
        <v>17.28</v>
      </c>
      <c r="L244" s="212">
        <v>0</v>
      </c>
      <c r="M244" s="213"/>
      <c r="N244" s="214">
        <f>ROUND($L$244*$K$244,2)</f>
        <v>0</v>
      </c>
      <c r="O244" s="213"/>
      <c r="P244" s="213"/>
      <c r="Q244" s="213"/>
      <c r="R244" s="25"/>
      <c r="T244" s="139"/>
      <c r="U244" s="31" t="s">
        <v>41</v>
      </c>
      <c r="V244" s="140">
        <v>0.34</v>
      </c>
      <c r="W244" s="140">
        <f>$V$244*$K$244</f>
        <v>5.8752</v>
      </c>
      <c r="X244" s="140">
        <v>0.00085</v>
      </c>
      <c r="Y244" s="140">
        <f>$X$244*$K$244</f>
        <v>0.014688</v>
      </c>
      <c r="Z244" s="140">
        <v>0</v>
      </c>
      <c r="AA244" s="141">
        <f>$Z$244*$K$244</f>
        <v>0</v>
      </c>
      <c r="AR244" s="7" t="s">
        <v>167</v>
      </c>
      <c r="AT244" s="7" t="s">
        <v>163</v>
      </c>
      <c r="AU244" s="7" t="s">
        <v>106</v>
      </c>
      <c r="AY244" s="7" t="s">
        <v>161</v>
      </c>
      <c r="BE244" s="89">
        <f>IF($U$244="základní",$N$244,0)</f>
        <v>0</v>
      </c>
      <c r="BF244" s="89">
        <f>IF($U$244="snížená",$N$244,0)</f>
        <v>0</v>
      </c>
      <c r="BG244" s="89">
        <f>IF($U$244="zákl. přenesená",$N$244,0)</f>
        <v>0</v>
      </c>
      <c r="BH244" s="89">
        <f>IF($U$244="sníž. přenesená",$N$244,0)</f>
        <v>0</v>
      </c>
      <c r="BI244" s="89">
        <f>IF($U$244="nulová",$N$244,0)</f>
        <v>0</v>
      </c>
      <c r="BJ244" s="7" t="s">
        <v>16</v>
      </c>
      <c r="BK244" s="89">
        <f>ROUND($L$244*$K$244,2)</f>
        <v>0</v>
      </c>
      <c r="BL244" s="7" t="s">
        <v>167</v>
      </c>
    </row>
    <row r="245" spans="2:51" s="7" customFormat="1" ht="15.75" customHeight="1">
      <c r="B245" s="142"/>
      <c r="C245" s="143"/>
      <c r="D245" s="143"/>
      <c r="E245" s="143"/>
      <c r="F245" s="215" t="s">
        <v>335</v>
      </c>
      <c r="G245" s="216"/>
      <c r="H245" s="216"/>
      <c r="I245" s="216"/>
      <c r="J245" s="143"/>
      <c r="K245" s="144">
        <v>11.7</v>
      </c>
      <c r="L245" s="143"/>
      <c r="M245" s="143"/>
      <c r="N245" s="143"/>
      <c r="O245" s="143"/>
      <c r="P245" s="143"/>
      <c r="Q245" s="143"/>
      <c r="R245" s="145"/>
      <c r="T245" s="146"/>
      <c r="U245" s="143"/>
      <c r="V245" s="143"/>
      <c r="W245" s="143"/>
      <c r="X245" s="143"/>
      <c r="Y245" s="143"/>
      <c r="Z245" s="143"/>
      <c r="AA245" s="147"/>
      <c r="AT245" s="148" t="s">
        <v>169</v>
      </c>
      <c r="AU245" s="148" t="s">
        <v>106</v>
      </c>
      <c r="AV245" s="148" t="s">
        <v>106</v>
      </c>
      <c r="AW245" s="148" t="s">
        <v>114</v>
      </c>
      <c r="AX245" s="148" t="s">
        <v>76</v>
      </c>
      <c r="AY245" s="148" t="s">
        <v>161</v>
      </c>
    </row>
    <row r="246" spans="2:51" s="7" customFormat="1" ht="15.75" customHeight="1">
      <c r="B246" s="142"/>
      <c r="C246" s="143"/>
      <c r="D246" s="143"/>
      <c r="E246" s="143"/>
      <c r="F246" s="215" t="s">
        <v>336</v>
      </c>
      <c r="G246" s="216"/>
      <c r="H246" s="216"/>
      <c r="I246" s="216"/>
      <c r="J246" s="143"/>
      <c r="K246" s="144">
        <v>5.58</v>
      </c>
      <c r="L246" s="143"/>
      <c r="M246" s="143"/>
      <c r="N246" s="143"/>
      <c r="O246" s="143"/>
      <c r="P246" s="143"/>
      <c r="Q246" s="143"/>
      <c r="R246" s="145"/>
      <c r="T246" s="146"/>
      <c r="U246" s="143"/>
      <c r="V246" s="143"/>
      <c r="W246" s="143"/>
      <c r="X246" s="143"/>
      <c r="Y246" s="143"/>
      <c r="Z246" s="143"/>
      <c r="AA246" s="147"/>
      <c r="AT246" s="148" t="s">
        <v>169</v>
      </c>
      <c r="AU246" s="148" t="s">
        <v>106</v>
      </c>
      <c r="AV246" s="148" t="s">
        <v>106</v>
      </c>
      <c r="AW246" s="148" t="s">
        <v>114</v>
      </c>
      <c r="AX246" s="148" t="s">
        <v>76</v>
      </c>
      <c r="AY246" s="148" t="s">
        <v>161</v>
      </c>
    </row>
    <row r="247" spans="2:51" s="7" customFormat="1" ht="15.75" customHeight="1">
      <c r="B247" s="149"/>
      <c r="C247" s="150"/>
      <c r="D247" s="150"/>
      <c r="E247" s="150"/>
      <c r="F247" s="223" t="s">
        <v>178</v>
      </c>
      <c r="G247" s="224"/>
      <c r="H247" s="224"/>
      <c r="I247" s="224"/>
      <c r="J247" s="150"/>
      <c r="K247" s="151">
        <v>17.28</v>
      </c>
      <c r="L247" s="150"/>
      <c r="M247" s="150"/>
      <c r="N247" s="150"/>
      <c r="O247" s="150"/>
      <c r="P247" s="150"/>
      <c r="Q247" s="150"/>
      <c r="R247" s="152"/>
      <c r="T247" s="153"/>
      <c r="U247" s="150"/>
      <c r="V247" s="150"/>
      <c r="W247" s="150"/>
      <c r="X247" s="150"/>
      <c r="Y247" s="150"/>
      <c r="Z247" s="150"/>
      <c r="AA247" s="154"/>
      <c r="AT247" s="155" t="s">
        <v>169</v>
      </c>
      <c r="AU247" s="155" t="s">
        <v>106</v>
      </c>
      <c r="AV247" s="155" t="s">
        <v>167</v>
      </c>
      <c r="AW247" s="155" t="s">
        <v>114</v>
      </c>
      <c r="AX247" s="155" t="s">
        <v>16</v>
      </c>
      <c r="AY247" s="155" t="s">
        <v>161</v>
      </c>
    </row>
    <row r="248" spans="2:64" s="7" customFormat="1" ht="27" customHeight="1">
      <c r="B248" s="23"/>
      <c r="C248" s="135" t="s">
        <v>337</v>
      </c>
      <c r="D248" s="135" t="s">
        <v>163</v>
      </c>
      <c r="E248" s="136" t="s">
        <v>338</v>
      </c>
      <c r="F248" s="217" t="s">
        <v>339</v>
      </c>
      <c r="G248" s="213"/>
      <c r="H248" s="213"/>
      <c r="I248" s="213"/>
      <c r="J248" s="137" t="s">
        <v>214</v>
      </c>
      <c r="K248" s="138">
        <v>33.465</v>
      </c>
      <c r="L248" s="212">
        <v>0</v>
      </c>
      <c r="M248" s="213"/>
      <c r="N248" s="214">
        <f>ROUND($L$248*$K$248,2)</f>
        <v>0</v>
      </c>
      <c r="O248" s="213"/>
      <c r="P248" s="213"/>
      <c r="Q248" s="213"/>
      <c r="R248" s="25"/>
      <c r="T248" s="139"/>
      <c r="U248" s="31" t="s">
        <v>41</v>
      </c>
      <c r="V248" s="140">
        <v>0.08</v>
      </c>
      <c r="W248" s="140">
        <f>$V$248*$K$248</f>
        <v>2.6772000000000005</v>
      </c>
      <c r="X248" s="140">
        <v>0.00024</v>
      </c>
      <c r="Y248" s="140">
        <f>$X$248*$K$248</f>
        <v>0.008031600000000002</v>
      </c>
      <c r="Z248" s="140">
        <v>0</v>
      </c>
      <c r="AA248" s="141">
        <f>$Z$248*$K$248</f>
        <v>0</v>
      </c>
      <c r="AR248" s="7" t="s">
        <v>167</v>
      </c>
      <c r="AT248" s="7" t="s">
        <v>163</v>
      </c>
      <c r="AU248" s="7" t="s">
        <v>106</v>
      </c>
      <c r="AY248" s="7" t="s">
        <v>161</v>
      </c>
      <c r="BE248" s="89">
        <f>IF($U$248="základní",$N$248,0)</f>
        <v>0</v>
      </c>
      <c r="BF248" s="89">
        <f>IF($U$248="snížená",$N$248,0)</f>
        <v>0</v>
      </c>
      <c r="BG248" s="89">
        <f>IF($U$248="zákl. přenesená",$N$248,0)</f>
        <v>0</v>
      </c>
      <c r="BH248" s="89">
        <f>IF($U$248="sníž. přenesená",$N$248,0)</f>
        <v>0</v>
      </c>
      <c r="BI248" s="89">
        <f>IF($U$248="nulová",$N$248,0)</f>
        <v>0</v>
      </c>
      <c r="BJ248" s="7" t="s">
        <v>16</v>
      </c>
      <c r="BK248" s="89">
        <f>ROUND($L$248*$K$248,2)</f>
        <v>0</v>
      </c>
      <c r="BL248" s="7" t="s">
        <v>167</v>
      </c>
    </row>
    <row r="249" spans="2:51" s="7" customFormat="1" ht="15.75" customHeight="1">
      <c r="B249" s="142"/>
      <c r="C249" s="143"/>
      <c r="D249" s="143"/>
      <c r="E249" s="143"/>
      <c r="F249" s="215" t="s">
        <v>340</v>
      </c>
      <c r="G249" s="216"/>
      <c r="H249" s="216"/>
      <c r="I249" s="216"/>
      <c r="J249" s="143"/>
      <c r="K249" s="144">
        <v>33.465</v>
      </c>
      <c r="L249" s="143"/>
      <c r="M249" s="143"/>
      <c r="N249" s="143"/>
      <c r="O249" s="143"/>
      <c r="P249" s="143"/>
      <c r="Q249" s="143"/>
      <c r="R249" s="145"/>
      <c r="T249" s="146"/>
      <c r="U249" s="143"/>
      <c r="V249" s="143"/>
      <c r="W249" s="143"/>
      <c r="X249" s="143"/>
      <c r="Y249" s="143"/>
      <c r="Z249" s="143"/>
      <c r="AA249" s="147"/>
      <c r="AT249" s="148" t="s">
        <v>169</v>
      </c>
      <c r="AU249" s="148" t="s">
        <v>106</v>
      </c>
      <c r="AV249" s="148" t="s">
        <v>106</v>
      </c>
      <c r="AW249" s="148" t="s">
        <v>114</v>
      </c>
      <c r="AX249" s="148" t="s">
        <v>16</v>
      </c>
      <c r="AY249" s="148" t="s">
        <v>161</v>
      </c>
    </row>
    <row r="250" spans="2:64" s="7" customFormat="1" ht="27" customHeight="1">
      <c r="B250" s="23"/>
      <c r="C250" s="135" t="s">
        <v>341</v>
      </c>
      <c r="D250" s="135" t="s">
        <v>163</v>
      </c>
      <c r="E250" s="136" t="s">
        <v>342</v>
      </c>
      <c r="F250" s="217" t="s">
        <v>343</v>
      </c>
      <c r="G250" s="213"/>
      <c r="H250" s="213"/>
      <c r="I250" s="213"/>
      <c r="J250" s="137" t="s">
        <v>214</v>
      </c>
      <c r="K250" s="138">
        <v>144.898</v>
      </c>
      <c r="L250" s="212">
        <v>0</v>
      </c>
      <c r="M250" s="213"/>
      <c r="N250" s="214">
        <f>ROUND($L$250*$K$250,2)</f>
        <v>0</v>
      </c>
      <c r="O250" s="213"/>
      <c r="P250" s="213"/>
      <c r="Q250" s="213"/>
      <c r="R250" s="25"/>
      <c r="T250" s="139"/>
      <c r="U250" s="31" t="s">
        <v>41</v>
      </c>
      <c r="V250" s="140">
        <v>0.087</v>
      </c>
      <c r="W250" s="140">
        <f>$V$250*$K$250</f>
        <v>12.606125999999998</v>
      </c>
      <c r="X250" s="140">
        <v>0.00735</v>
      </c>
      <c r="Y250" s="140">
        <f>$X$250*$K$250</f>
        <v>1.0650003</v>
      </c>
      <c r="Z250" s="140">
        <v>0</v>
      </c>
      <c r="AA250" s="141">
        <f>$Z$250*$K$250</f>
        <v>0</v>
      </c>
      <c r="AR250" s="7" t="s">
        <v>167</v>
      </c>
      <c r="AT250" s="7" t="s">
        <v>163</v>
      </c>
      <c r="AU250" s="7" t="s">
        <v>106</v>
      </c>
      <c r="AY250" s="7" t="s">
        <v>161</v>
      </c>
      <c r="BE250" s="89">
        <f>IF($U$250="základní",$N$250,0)</f>
        <v>0</v>
      </c>
      <c r="BF250" s="89">
        <f>IF($U$250="snížená",$N$250,0)</f>
        <v>0</v>
      </c>
      <c r="BG250" s="89">
        <f>IF($U$250="zákl. přenesená",$N$250,0)</f>
        <v>0</v>
      </c>
      <c r="BH250" s="89">
        <f>IF($U$250="sníž. přenesená",$N$250,0)</f>
        <v>0</v>
      </c>
      <c r="BI250" s="89">
        <f>IF($U$250="nulová",$N$250,0)</f>
        <v>0</v>
      </c>
      <c r="BJ250" s="7" t="s">
        <v>16</v>
      </c>
      <c r="BK250" s="89">
        <f>ROUND($L$250*$K$250,2)</f>
        <v>0</v>
      </c>
      <c r="BL250" s="7" t="s">
        <v>167</v>
      </c>
    </row>
    <row r="251" spans="2:51" s="7" customFormat="1" ht="15.75" customHeight="1">
      <c r="B251" s="142"/>
      <c r="C251" s="143"/>
      <c r="D251" s="143"/>
      <c r="E251" s="143"/>
      <c r="F251" s="215" t="s">
        <v>344</v>
      </c>
      <c r="G251" s="216"/>
      <c r="H251" s="216"/>
      <c r="I251" s="216"/>
      <c r="J251" s="143"/>
      <c r="K251" s="144">
        <v>165.14</v>
      </c>
      <c r="L251" s="143"/>
      <c r="M251" s="143"/>
      <c r="N251" s="143"/>
      <c r="O251" s="143"/>
      <c r="P251" s="143"/>
      <c r="Q251" s="143"/>
      <c r="R251" s="145"/>
      <c r="T251" s="146"/>
      <c r="U251" s="143"/>
      <c r="V251" s="143"/>
      <c r="W251" s="143"/>
      <c r="X251" s="143"/>
      <c r="Y251" s="143"/>
      <c r="Z251" s="143"/>
      <c r="AA251" s="147"/>
      <c r="AT251" s="148" t="s">
        <v>169</v>
      </c>
      <c r="AU251" s="148" t="s">
        <v>106</v>
      </c>
      <c r="AV251" s="148" t="s">
        <v>106</v>
      </c>
      <c r="AW251" s="148" t="s">
        <v>114</v>
      </c>
      <c r="AX251" s="148" t="s">
        <v>76</v>
      </c>
      <c r="AY251" s="148" t="s">
        <v>161</v>
      </c>
    </row>
    <row r="252" spans="2:51" s="7" customFormat="1" ht="15.75" customHeight="1">
      <c r="B252" s="142"/>
      <c r="C252" s="143"/>
      <c r="D252" s="143"/>
      <c r="E252" s="143"/>
      <c r="F252" s="215" t="s">
        <v>345</v>
      </c>
      <c r="G252" s="216"/>
      <c r="H252" s="216"/>
      <c r="I252" s="216"/>
      <c r="J252" s="143"/>
      <c r="K252" s="144">
        <v>-35.145</v>
      </c>
      <c r="L252" s="143"/>
      <c r="M252" s="143"/>
      <c r="N252" s="143"/>
      <c r="O252" s="143"/>
      <c r="P252" s="143"/>
      <c r="Q252" s="143"/>
      <c r="R252" s="145"/>
      <c r="T252" s="146"/>
      <c r="U252" s="143"/>
      <c r="V252" s="143"/>
      <c r="W252" s="143"/>
      <c r="X252" s="143"/>
      <c r="Y252" s="143"/>
      <c r="Z252" s="143"/>
      <c r="AA252" s="147"/>
      <c r="AT252" s="148" t="s">
        <v>169</v>
      </c>
      <c r="AU252" s="148" t="s">
        <v>106</v>
      </c>
      <c r="AV252" s="148" t="s">
        <v>106</v>
      </c>
      <c r="AW252" s="148" t="s">
        <v>114</v>
      </c>
      <c r="AX252" s="148" t="s">
        <v>76</v>
      </c>
      <c r="AY252" s="148" t="s">
        <v>161</v>
      </c>
    </row>
    <row r="253" spans="2:51" s="7" customFormat="1" ht="15.75" customHeight="1">
      <c r="B253" s="142"/>
      <c r="C253" s="143"/>
      <c r="D253" s="143"/>
      <c r="E253" s="143"/>
      <c r="F253" s="215" t="s">
        <v>346</v>
      </c>
      <c r="G253" s="216"/>
      <c r="H253" s="216"/>
      <c r="I253" s="216"/>
      <c r="J253" s="143"/>
      <c r="K253" s="144">
        <v>13.365</v>
      </c>
      <c r="L253" s="143"/>
      <c r="M253" s="143"/>
      <c r="N253" s="143"/>
      <c r="O253" s="143"/>
      <c r="P253" s="143"/>
      <c r="Q253" s="143"/>
      <c r="R253" s="145"/>
      <c r="T253" s="146"/>
      <c r="U253" s="143"/>
      <c r="V253" s="143"/>
      <c r="W253" s="143"/>
      <c r="X253" s="143"/>
      <c r="Y253" s="143"/>
      <c r="Z253" s="143"/>
      <c r="AA253" s="147"/>
      <c r="AT253" s="148" t="s">
        <v>169</v>
      </c>
      <c r="AU253" s="148" t="s">
        <v>106</v>
      </c>
      <c r="AV253" s="148" t="s">
        <v>106</v>
      </c>
      <c r="AW253" s="148" t="s">
        <v>114</v>
      </c>
      <c r="AX253" s="148" t="s">
        <v>76</v>
      </c>
      <c r="AY253" s="148" t="s">
        <v>161</v>
      </c>
    </row>
    <row r="254" spans="2:51" s="7" customFormat="1" ht="15.75" customHeight="1">
      <c r="B254" s="142"/>
      <c r="C254" s="143"/>
      <c r="D254" s="143"/>
      <c r="E254" s="143"/>
      <c r="F254" s="215" t="s">
        <v>347</v>
      </c>
      <c r="G254" s="216"/>
      <c r="H254" s="216"/>
      <c r="I254" s="216"/>
      <c r="J254" s="143"/>
      <c r="K254" s="144">
        <v>0.788</v>
      </c>
      <c r="L254" s="143"/>
      <c r="M254" s="143"/>
      <c r="N254" s="143"/>
      <c r="O254" s="143"/>
      <c r="P254" s="143"/>
      <c r="Q254" s="143"/>
      <c r="R254" s="145"/>
      <c r="T254" s="146"/>
      <c r="U254" s="143"/>
      <c r="V254" s="143"/>
      <c r="W254" s="143"/>
      <c r="X254" s="143"/>
      <c r="Y254" s="143"/>
      <c r="Z254" s="143"/>
      <c r="AA254" s="147"/>
      <c r="AT254" s="148" t="s">
        <v>169</v>
      </c>
      <c r="AU254" s="148" t="s">
        <v>106</v>
      </c>
      <c r="AV254" s="148" t="s">
        <v>106</v>
      </c>
      <c r="AW254" s="148" t="s">
        <v>114</v>
      </c>
      <c r="AX254" s="148" t="s">
        <v>76</v>
      </c>
      <c r="AY254" s="148" t="s">
        <v>161</v>
      </c>
    </row>
    <row r="255" spans="2:51" s="7" customFormat="1" ht="15.75" customHeight="1">
      <c r="B255" s="142"/>
      <c r="C255" s="143"/>
      <c r="D255" s="143"/>
      <c r="E255" s="143"/>
      <c r="F255" s="215" t="s">
        <v>348</v>
      </c>
      <c r="G255" s="216"/>
      <c r="H255" s="216"/>
      <c r="I255" s="216"/>
      <c r="J255" s="143"/>
      <c r="K255" s="144">
        <v>0.75</v>
      </c>
      <c r="L255" s="143"/>
      <c r="M255" s="143"/>
      <c r="N255" s="143"/>
      <c r="O255" s="143"/>
      <c r="P255" s="143"/>
      <c r="Q255" s="143"/>
      <c r="R255" s="145"/>
      <c r="T255" s="146"/>
      <c r="U255" s="143"/>
      <c r="V255" s="143"/>
      <c r="W255" s="143"/>
      <c r="X255" s="143"/>
      <c r="Y255" s="143"/>
      <c r="Z255" s="143"/>
      <c r="AA255" s="147"/>
      <c r="AT255" s="148" t="s">
        <v>169</v>
      </c>
      <c r="AU255" s="148" t="s">
        <v>106</v>
      </c>
      <c r="AV255" s="148" t="s">
        <v>106</v>
      </c>
      <c r="AW255" s="148" t="s">
        <v>114</v>
      </c>
      <c r="AX255" s="148" t="s">
        <v>76</v>
      </c>
      <c r="AY255" s="148" t="s">
        <v>161</v>
      </c>
    </row>
    <row r="256" spans="2:51" s="7" customFormat="1" ht="15.75" customHeight="1">
      <c r="B256" s="149"/>
      <c r="C256" s="150"/>
      <c r="D256" s="150"/>
      <c r="E256" s="150"/>
      <c r="F256" s="223" t="s">
        <v>178</v>
      </c>
      <c r="G256" s="224"/>
      <c r="H256" s="224"/>
      <c r="I256" s="224"/>
      <c r="J256" s="150"/>
      <c r="K256" s="151">
        <v>144.898</v>
      </c>
      <c r="L256" s="150"/>
      <c r="M256" s="150"/>
      <c r="N256" s="150"/>
      <c r="O256" s="150"/>
      <c r="P256" s="150"/>
      <c r="Q256" s="150"/>
      <c r="R256" s="152"/>
      <c r="T256" s="153"/>
      <c r="U256" s="150"/>
      <c r="V256" s="150"/>
      <c r="W256" s="150"/>
      <c r="X256" s="150"/>
      <c r="Y256" s="150"/>
      <c r="Z256" s="150"/>
      <c r="AA256" s="154"/>
      <c r="AT256" s="155" t="s">
        <v>169</v>
      </c>
      <c r="AU256" s="155" t="s">
        <v>106</v>
      </c>
      <c r="AV256" s="155" t="s">
        <v>167</v>
      </c>
      <c r="AW256" s="155" t="s">
        <v>114</v>
      </c>
      <c r="AX256" s="155" t="s">
        <v>16</v>
      </c>
      <c r="AY256" s="155" t="s">
        <v>161</v>
      </c>
    </row>
    <row r="257" spans="2:64" s="7" customFormat="1" ht="27" customHeight="1">
      <c r="B257" s="23"/>
      <c r="C257" s="135" t="s">
        <v>349</v>
      </c>
      <c r="D257" s="135" t="s">
        <v>163</v>
      </c>
      <c r="E257" s="136" t="s">
        <v>350</v>
      </c>
      <c r="F257" s="217" t="s">
        <v>351</v>
      </c>
      <c r="G257" s="213"/>
      <c r="H257" s="213"/>
      <c r="I257" s="213"/>
      <c r="J257" s="137" t="s">
        <v>214</v>
      </c>
      <c r="K257" s="138">
        <v>144.898</v>
      </c>
      <c r="L257" s="212">
        <v>0</v>
      </c>
      <c r="M257" s="213"/>
      <c r="N257" s="214">
        <f>ROUND($L$257*$K$257,2)</f>
        <v>0</v>
      </c>
      <c r="O257" s="213"/>
      <c r="P257" s="213"/>
      <c r="Q257" s="213"/>
      <c r="R257" s="25"/>
      <c r="T257" s="139"/>
      <c r="U257" s="31" t="s">
        <v>41</v>
      </c>
      <c r="V257" s="140">
        <v>0.25</v>
      </c>
      <c r="W257" s="140">
        <f>$V$257*$K$257</f>
        <v>36.2245</v>
      </c>
      <c r="X257" s="140">
        <v>0.00656</v>
      </c>
      <c r="Y257" s="140">
        <f>$X$257*$K$257</f>
        <v>0.95053088</v>
      </c>
      <c r="Z257" s="140">
        <v>0</v>
      </c>
      <c r="AA257" s="141">
        <f>$Z$257*$K$257</f>
        <v>0</v>
      </c>
      <c r="AR257" s="7" t="s">
        <v>167</v>
      </c>
      <c r="AT257" s="7" t="s">
        <v>163</v>
      </c>
      <c r="AU257" s="7" t="s">
        <v>106</v>
      </c>
      <c r="AY257" s="7" t="s">
        <v>161</v>
      </c>
      <c r="BE257" s="89">
        <f>IF($U$257="základní",$N$257,0)</f>
        <v>0</v>
      </c>
      <c r="BF257" s="89">
        <f>IF($U$257="snížená",$N$257,0)</f>
        <v>0</v>
      </c>
      <c r="BG257" s="89">
        <f>IF($U$257="zákl. přenesená",$N$257,0)</f>
        <v>0</v>
      </c>
      <c r="BH257" s="89">
        <f>IF($U$257="sníž. přenesená",$N$257,0)</f>
        <v>0</v>
      </c>
      <c r="BI257" s="89">
        <f>IF($U$257="nulová",$N$257,0)</f>
        <v>0</v>
      </c>
      <c r="BJ257" s="7" t="s">
        <v>16</v>
      </c>
      <c r="BK257" s="89">
        <f>ROUND($L$257*$K$257,2)</f>
        <v>0</v>
      </c>
      <c r="BL257" s="7" t="s">
        <v>167</v>
      </c>
    </row>
    <row r="258" spans="2:51" s="7" customFormat="1" ht="15.75" customHeight="1">
      <c r="B258" s="142"/>
      <c r="C258" s="143"/>
      <c r="D258" s="143"/>
      <c r="E258" s="143"/>
      <c r="F258" s="215" t="s">
        <v>344</v>
      </c>
      <c r="G258" s="216"/>
      <c r="H258" s="216"/>
      <c r="I258" s="216"/>
      <c r="J258" s="143"/>
      <c r="K258" s="144">
        <v>165.14</v>
      </c>
      <c r="L258" s="143"/>
      <c r="M258" s="143"/>
      <c r="N258" s="143"/>
      <c r="O258" s="143"/>
      <c r="P258" s="143"/>
      <c r="Q258" s="143"/>
      <c r="R258" s="145"/>
      <c r="T258" s="146"/>
      <c r="U258" s="143"/>
      <c r="V258" s="143"/>
      <c r="W258" s="143"/>
      <c r="X258" s="143"/>
      <c r="Y258" s="143"/>
      <c r="Z258" s="143"/>
      <c r="AA258" s="147"/>
      <c r="AT258" s="148" t="s">
        <v>169</v>
      </c>
      <c r="AU258" s="148" t="s">
        <v>106</v>
      </c>
      <c r="AV258" s="148" t="s">
        <v>106</v>
      </c>
      <c r="AW258" s="148" t="s">
        <v>114</v>
      </c>
      <c r="AX258" s="148" t="s">
        <v>76</v>
      </c>
      <c r="AY258" s="148" t="s">
        <v>161</v>
      </c>
    </row>
    <row r="259" spans="2:51" s="7" customFormat="1" ht="15.75" customHeight="1">
      <c r="B259" s="142"/>
      <c r="C259" s="143"/>
      <c r="D259" s="143"/>
      <c r="E259" s="143"/>
      <c r="F259" s="215" t="s">
        <v>345</v>
      </c>
      <c r="G259" s="216"/>
      <c r="H259" s="216"/>
      <c r="I259" s="216"/>
      <c r="J259" s="143"/>
      <c r="K259" s="144">
        <v>-35.145</v>
      </c>
      <c r="L259" s="143"/>
      <c r="M259" s="143"/>
      <c r="N259" s="143"/>
      <c r="O259" s="143"/>
      <c r="P259" s="143"/>
      <c r="Q259" s="143"/>
      <c r="R259" s="145"/>
      <c r="T259" s="146"/>
      <c r="U259" s="143"/>
      <c r="V259" s="143"/>
      <c r="W259" s="143"/>
      <c r="X259" s="143"/>
      <c r="Y259" s="143"/>
      <c r="Z259" s="143"/>
      <c r="AA259" s="147"/>
      <c r="AT259" s="148" t="s">
        <v>169</v>
      </c>
      <c r="AU259" s="148" t="s">
        <v>106</v>
      </c>
      <c r="AV259" s="148" t="s">
        <v>106</v>
      </c>
      <c r="AW259" s="148" t="s">
        <v>114</v>
      </c>
      <c r="AX259" s="148" t="s">
        <v>76</v>
      </c>
      <c r="AY259" s="148" t="s">
        <v>161</v>
      </c>
    </row>
    <row r="260" spans="2:51" s="7" customFormat="1" ht="15.75" customHeight="1">
      <c r="B260" s="142"/>
      <c r="C260" s="143"/>
      <c r="D260" s="143"/>
      <c r="E260" s="143"/>
      <c r="F260" s="215" t="s">
        <v>346</v>
      </c>
      <c r="G260" s="216"/>
      <c r="H260" s="216"/>
      <c r="I260" s="216"/>
      <c r="J260" s="143"/>
      <c r="K260" s="144">
        <v>13.365</v>
      </c>
      <c r="L260" s="143"/>
      <c r="M260" s="143"/>
      <c r="N260" s="143"/>
      <c r="O260" s="143"/>
      <c r="P260" s="143"/>
      <c r="Q260" s="143"/>
      <c r="R260" s="145"/>
      <c r="T260" s="146"/>
      <c r="U260" s="143"/>
      <c r="V260" s="143"/>
      <c r="W260" s="143"/>
      <c r="X260" s="143"/>
      <c r="Y260" s="143"/>
      <c r="Z260" s="143"/>
      <c r="AA260" s="147"/>
      <c r="AT260" s="148" t="s">
        <v>169</v>
      </c>
      <c r="AU260" s="148" t="s">
        <v>106</v>
      </c>
      <c r="AV260" s="148" t="s">
        <v>106</v>
      </c>
      <c r="AW260" s="148" t="s">
        <v>114</v>
      </c>
      <c r="AX260" s="148" t="s">
        <v>76</v>
      </c>
      <c r="AY260" s="148" t="s">
        <v>161</v>
      </c>
    </row>
    <row r="261" spans="2:51" s="7" customFormat="1" ht="15.75" customHeight="1">
      <c r="B261" s="142"/>
      <c r="C261" s="143"/>
      <c r="D261" s="143"/>
      <c r="E261" s="143"/>
      <c r="F261" s="215" t="s">
        <v>347</v>
      </c>
      <c r="G261" s="216"/>
      <c r="H261" s="216"/>
      <c r="I261" s="216"/>
      <c r="J261" s="143"/>
      <c r="K261" s="144">
        <v>0.788</v>
      </c>
      <c r="L261" s="143"/>
      <c r="M261" s="143"/>
      <c r="N261" s="143"/>
      <c r="O261" s="143"/>
      <c r="P261" s="143"/>
      <c r="Q261" s="143"/>
      <c r="R261" s="145"/>
      <c r="T261" s="146"/>
      <c r="U261" s="143"/>
      <c r="V261" s="143"/>
      <c r="W261" s="143"/>
      <c r="X261" s="143"/>
      <c r="Y261" s="143"/>
      <c r="Z261" s="143"/>
      <c r="AA261" s="147"/>
      <c r="AT261" s="148" t="s">
        <v>169</v>
      </c>
      <c r="AU261" s="148" t="s">
        <v>106</v>
      </c>
      <c r="AV261" s="148" t="s">
        <v>106</v>
      </c>
      <c r="AW261" s="148" t="s">
        <v>114</v>
      </c>
      <c r="AX261" s="148" t="s">
        <v>76</v>
      </c>
      <c r="AY261" s="148" t="s">
        <v>161</v>
      </c>
    </row>
    <row r="262" spans="2:51" s="7" customFormat="1" ht="15.75" customHeight="1">
      <c r="B262" s="142"/>
      <c r="C262" s="143"/>
      <c r="D262" s="143"/>
      <c r="E262" s="143"/>
      <c r="F262" s="215" t="s">
        <v>348</v>
      </c>
      <c r="G262" s="216"/>
      <c r="H262" s="216"/>
      <c r="I262" s="216"/>
      <c r="J262" s="143"/>
      <c r="K262" s="144">
        <v>0.75</v>
      </c>
      <c r="L262" s="143"/>
      <c r="M262" s="143"/>
      <c r="N262" s="143"/>
      <c r="O262" s="143"/>
      <c r="P262" s="143"/>
      <c r="Q262" s="143"/>
      <c r="R262" s="145"/>
      <c r="T262" s="146"/>
      <c r="U262" s="143"/>
      <c r="V262" s="143"/>
      <c r="W262" s="143"/>
      <c r="X262" s="143"/>
      <c r="Y262" s="143"/>
      <c r="Z262" s="143"/>
      <c r="AA262" s="147"/>
      <c r="AT262" s="148" t="s">
        <v>169</v>
      </c>
      <c r="AU262" s="148" t="s">
        <v>106</v>
      </c>
      <c r="AV262" s="148" t="s">
        <v>106</v>
      </c>
      <c r="AW262" s="148" t="s">
        <v>114</v>
      </c>
      <c r="AX262" s="148" t="s">
        <v>76</v>
      </c>
      <c r="AY262" s="148" t="s">
        <v>161</v>
      </c>
    </row>
    <row r="263" spans="2:51" s="7" customFormat="1" ht="15.75" customHeight="1">
      <c r="B263" s="149"/>
      <c r="C263" s="150"/>
      <c r="D263" s="150"/>
      <c r="E263" s="150"/>
      <c r="F263" s="223" t="s">
        <v>178</v>
      </c>
      <c r="G263" s="224"/>
      <c r="H263" s="224"/>
      <c r="I263" s="224"/>
      <c r="J263" s="150"/>
      <c r="K263" s="151">
        <v>144.898</v>
      </c>
      <c r="L263" s="150"/>
      <c r="M263" s="150"/>
      <c r="N263" s="150"/>
      <c r="O263" s="150"/>
      <c r="P263" s="150"/>
      <c r="Q263" s="150"/>
      <c r="R263" s="152"/>
      <c r="T263" s="153"/>
      <c r="U263" s="150"/>
      <c r="V263" s="150"/>
      <c r="W263" s="150"/>
      <c r="X263" s="150"/>
      <c r="Y263" s="150"/>
      <c r="Z263" s="150"/>
      <c r="AA263" s="154"/>
      <c r="AT263" s="155" t="s">
        <v>169</v>
      </c>
      <c r="AU263" s="155" t="s">
        <v>106</v>
      </c>
      <c r="AV263" s="155" t="s">
        <v>167</v>
      </c>
      <c r="AW263" s="155" t="s">
        <v>114</v>
      </c>
      <c r="AX263" s="155" t="s">
        <v>16</v>
      </c>
      <c r="AY263" s="155" t="s">
        <v>161</v>
      </c>
    </row>
    <row r="264" spans="2:64" s="7" customFormat="1" ht="39" customHeight="1">
      <c r="B264" s="23"/>
      <c r="C264" s="135" t="s">
        <v>352</v>
      </c>
      <c r="D264" s="135" t="s">
        <v>163</v>
      </c>
      <c r="E264" s="136" t="s">
        <v>353</v>
      </c>
      <c r="F264" s="217" t="s">
        <v>354</v>
      </c>
      <c r="G264" s="213"/>
      <c r="H264" s="213"/>
      <c r="I264" s="213"/>
      <c r="J264" s="137" t="s">
        <v>214</v>
      </c>
      <c r="K264" s="138">
        <v>2897.96</v>
      </c>
      <c r="L264" s="212">
        <v>0</v>
      </c>
      <c r="M264" s="213"/>
      <c r="N264" s="214">
        <f>ROUND($L$264*$K$264,2)</f>
        <v>0</v>
      </c>
      <c r="O264" s="213"/>
      <c r="P264" s="213"/>
      <c r="Q264" s="213"/>
      <c r="R264" s="25"/>
      <c r="T264" s="139"/>
      <c r="U264" s="31" t="s">
        <v>41</v>
      </c>
      <c r="V264" s="140">
        <v>0.013</v>
      </c>
      <c r="W264" s="140">
        <f>$V$264*$K$264</f>
        <v>37.67348</v>
      </c>
      <c r="X264" s="140">
        <v>0.00131</v>
      </c>
      <c r="Y264" s="140">
        <f>$X$264*$K$264</f>
        <v>3.7963276</v>
      </c>
      <c r="Z264" s="140">
        <v>0</v>
      </c>
      <c r="AA264" s="141">
        <f>$Z$264*$K$264</f>
        <v>0</v>
      </c>
      <c r="AR264" s="7" t="s">
        <v>167</v>
      </c>
      <c r="AT264" s="7" t="s">
        <v>163</v>
      </c>
      <c r="AU264" s="7" t="s">
        <v>106</v>
      </c>
      <c r="AY264" s="7" t="s">
        <v>161</v>
      </c>
      <c r="BE264" s="89">
        <f>IF($U$264="základní",$N$264,0)</f>
        <v>0</v>
      </c>
      <c r="BF264" s="89">
        <f>IF($U$264="snížená",$N$264,0)</f>
        <v>0</v>
      </c>
      <c r="BG264" s="89">
        <f>IF($U$264="zákl. přenesená",$N$264,0)</f>
        <v>0</v>
      </c>
      <c r="BH264" s="89">
        <f>IF($U$264="sníž. přenesená",$N$264,0)</f>
        <v>0</v>
      </c>
      <c r="BI264" s="89">
        <f>IF($U$264="nulová",$N$264,0)</f>
        <v>0</v>
      </c>
      <c r="BJ264" s="7" t="s">
        <v>16</v>
      </c>
      <c r="BK264" s="89">
        <f>ROUND($L$264*$K$264,2)</f>
        <v>0</v>
      </c>
      <c r="BL264" s="7" t="s">
        <v>167</v>
      </c>
    </row>
    <row r="265" spans="2:51" s="7" customFormat="1" ht="15.75" customHeight="1">
      <c r="B265" s="142"/>
      <c r="C265" s="143"/>
      <c r="D265" s="143"/>
      <c r="E265" s="143"/>
      <c r="F265" s="215" t="s">
        <v>355</v>
      </c>
      <c r="G265" s="216"/>
      <c r="H265" s="216"/>
      <c r="I265" s="216"/>
      <c r="J265" s="143"/>
      <c r="K265" s="144">
        <v>2897.96</v>
      </c>
      <c r="L265" s="143"/>
      <c r="M265" s="143"/>
      <c r="N265" s="143"/>
      <c r="O265" s="143"/>
      <c r="P265" s="143"/>
      <c r="Q265" s="143"/>
      <c r="R265" s="145"/>
      <c r="T265" s="146"/>
      <c r="U265" s="143"/>
      <c r="V265" s="143"/>
      <c r="W265" s="143"/>
      <c r="X265" s="143"/>
      <c r="Y265" s="143"/>
      <c r="Z265" s="143"/>
      <c r="AA265" s="147"/>
      <c r="AT265" s="148" t="s">
        <v>169</v>
      </c>
      <c r="AU265" s="148" t="s">
        <v>106</v>
      </c>
      <c r="AV265" s="148" t="s">
        <v>106</v>
      </c>
      <c r="AW265" s="148" t="s">
        <v>114</v>
      </c>
      <c r="AX265" s="148" t="s">
        <v>16</v>
      </c>
      <c r="AY265" s="148" t="s">
        <v>161</v>
      </c>
    </row>
    <row r="266" spans="2:64" s="7" customFormat="1" ht="27" customHeight="1">
      <c r="B266" s="23"/>
      <c r="C266" s="135" t="s">
        <v>356</v>
      </c>
      <c r="D266" s="135" t="s">
        <v>163</v>
      </c>
      <c r="E266" s="136" t="s">
        <v>357</v>
      </c>
      <c r="F266" s="217" t="s">
        <v>358</v>
      </c>
      <c r="G266" s="213"/>
      <c r="H266" s="213"/>
      <c r="I266" s="213"/>
      <c r="J266" s="137" t="s">
        <v>214</v>
      </c>
      <c r="K266" s="138">
        <v>49.32</v>
      </c>
      <c r="L266" s="212">
        <v>0</v>
      </c>
      <c r="M266" s="213"/>
      <c r="N266" s="214">
        <f>ROUND($L$266*$K$266,2)</f>
        <v>0</v>
      </c>
      <c r="O266" s="213"/>
      <c r="P266" s="213"/>
      <c r="Q266" s="213"/>
      <c r="R266" s="25"/>
      <c r="T266" s="139"/>
      <c r="U266" s="31" t="s">
        <v>41</v>
      </c>
      <c r="V266" s="140">
        <v>0.57</v>
      </c>
      <c r="W266" s="140">
        <f>$V$266*$K$266</f>
        <v>28.112399999999997</v>
      </c>
      <c r="X266" s="140">
        <v>0.0352</v>
      </c>
      <c r="Y266" s="140">
        <f>$X$266*$K$266</f>
        <v>1.736064</v>
      </c>
      <c r="Z266" s="140">
        <v>0</v>
      </c>
      <c r="AA266" s="141">
        <f>$Z$266*$K$266</f>
        <v>0</v>
      </c>
      <c r="AR266" s="7" t="s">
        <v>167</v>
      </c>
      <c r="AT266" s="7" t="s">
        <v>163</v>
      </c>
      <c r="AU266" s="7" t="s">
        <v>106</v>
      </c>
      <c r="AY266" s="7" t="s">
        <v>161</v>
      </c>
      <c r="BE266" s="89">
        <f>IF($U$266="základní",$N$266,0)</f>
        <v>0</v>
      </c>
      <c r="BF266" s="89">
        <f>IF($U$266="snížená",$N$266,0)</f>
        <v>0</v>
      </c>
      <c r="BG266" s="89">
        <f>IF($U$266="zákl. přenesená",$N$266,0)</f>
        <v>0</v>
      </c>
      <c r="BH266" s="89">
        <f>IF($U$266="sníž. přenesená",$N$266,0)</f>
        <v>0</v>
      </c>
      <c r="BI266" s="89">
        <f>IF($U$266="nulová",$N$266,0)</f>
        <v>0</v>
      </c>
      <c r="BJ266" s="7" t="s">
        <v>16</v>
      </c>
      <c r="BK266" s="89">
        <f>ROUND($L$266*$K$266,2)</f>
        <v>0</v>
      </c>
      <c r="BL266" s="7" t="s">
        <v>167</v>
      </c>
    </row>
    <row r="267" spans="2:51" s="7" customFormat="1" ht="15.75" customHeight="1">
      <c r="B267" s="142"/>
      <c r="C267" s="143"/>
      <c r="D267" s="143"/>
      <c r="E267" s="143"/>
      <c r="F267" s="215" t="s">
        <v>359</v>
      </c>
      <c r="G267" s="216"/>
      <c r="H267" s="216"/>
      <c r="I267" s="216"/>
      <c r="J267" s="143"/>
      <c r="K267" s="144">
        <v>48.045</v>
      </c>
      <c r="L267" s="143"/>
      <c r="M267" s="143"/>
      <c r="N267" s="143"/>
      <c r="O267" s="143"/>
      <c r="P267" s="143"/>
      <c r="Q267" s="143"/>
      <c r="R267" s="145"/>
      <c r="T267" s="146"/>
      <c r="U267" s="143"/>
      <c r="V267" s="143"/>
      <c r="W267" s="143"/>
      <c r="X267" s="143"/>
      <c r="Y267" s="143"/>
      <c r="Z267" s="143"/>
      <c r="AA267" s="147"/>
      <c r="AT267" s="148" t="s">
        <v>169</v>
      </c>
      <c r="AU267" s="148" t="s">
        <v>106</v>
      </c>
      <c r="AV267" s="148" t="s">
        <v>106</v>
      </c>
      <c r="AW267" s="148" t="s">
        <v>114</v>
      </c>
      <c r="AX267" s="148" t="s">
        <v>76</v>
      </c>
      <c r="AY267" s="148" t="s">
        <v>161</v>
      </c>
    </row>
    <row r="268" spans="2:51" s="7" customFormat="1" ht="15.75" customHeight="1">
      <c r="B268" s="142"/>
      <c r="C268" s="143"/>
      <c r="D268" s="143"/>
      <c r="E268" s="143"/>
      <c r="F268" s="215" t="s">
        <v>360</v>
      </c>
      <c r="G268" s="216"/>
      <c r="H268" s="216"/>
      <c r="I268" s="216"/>
      <c r="J268" s="143"/>
      <c r="K268" s="144">
        <v>1.275</v>
      </c>
      <c r="L268" s="143"/>
      <c r="M268" s="143"/>
      <c r="N268" s="143"/>
      <c r="O268" s="143"/>
      <c r="P268" s="143"/>
      <c r="Q268" s="143"/>
      <c r="R268" s="145"/>
      <c r="T268" s="146"/>
      <c r="U268" s="143"/>
      <c r="V268" s="143"/>
      <c r="W268" s="143"/>
      <c r="X268" s="143"/>
      <c r="Y268" s="143"/>
      <c r="Z268" s="143"/>
      <c r="AA268" s="147"/>
      <c r="AT268" s="148" t="s">
        <v>169</v>
      </c>
      <c r="AU268" s="148" t="s">
        <v>106</v>
      </c>
      <c r="AV268" s="148" t="s">
        <v>106</v>
      </c>
      <c r="AW268" s="148" t="s">
        <v>114</v>
      </c>
      <c r="AX268" s="148" t="s">
        <v>76</v>
      </c>
      <c r="AY268" s="148" t="s">
        <v>161</v>
      </c>
    </row>
    <row r="269" spans="2:51" s="7" customFormat="1" ht="15.75" customHeight="1">
      <c r="B269" s="149"/>
      <c r="C269" s="150"/>
      <c r="D269" s="150"/>
      <c r="E269" s="150"/>
      <c r="F269" s="223" t="s">
        <v>178</v>
      </c>
      <c r="G269" s="224"/>
      <c r="H269" s="224"/>
      <c r="I269" s="224"/>
      <c r="J269" s="150"/>
      <c r="K269" s="151">
        <v>49.32</v>
      </c>
      <c r="L269" s="150"/>
      <c r="M269" s="150"/>
      <c r="N269" s="150"/>
      <c r="O269" s="150"/>
      <c r="P269" s="150"/>
      <c r="Q269" s="150"/>
      <c r="R269" s="152"/>
      <c r="T269" s="153"/>
      <c r="U269" s="150"/>
      <c r="V269" s="150"/>
      <c r="W269" s="150"/>
      <c r="X269" s="150"/>
      <c r="Y269" s="150"/>
      <c r="Z269" s="150"/>
      <c r="AA269" s="154"/>
      <c r="AT269" s="155" t="s">
        <v>169</v>
      </c>
      <c r="AU269" s="155" t="s">
        <v>106</v>
      </c>
      <c r="AV269" s="155" t="s">
        <v>167</v>
      </c>
      <c r="AW269" s="155" t="s">
        <v>114</v>
      </c>
      <c r="AX269" s="155" t="s">
        <v>16</v>
      </c>
      <c r="AY269" s="155" t="s">
        <v>161</v>
      </c>
    </row>
    <row r="270" spans="2:64" s="7" customFormat="1" ht="27" customHeight="1">
      <c r="B270" s="23"/>
      <c r="C270" s="135" t="s">
        <v>361</v>
      </c>
      <c r="D270" s="135" t="s">
        <v>163</v>
      </c>
      <c r="E270" s="136" t="s">
        <v>362</v>
      </c>
      <c r="F270" s="217" t="s">
        <v>363</v>
      </c>
      <c r="G270" s="213"/>
      <c r="H270" s="213"/>
      <c r="I270" s="213"/>
      <c r="J270" s="137" t="s">
        <v>214</v>
      </c>
      <c r="K270" s="138">
        <v>8.188</v>
      </c>
      <c r="L270" s="212">
        <v>0</v>
      </c>
      <c r="M270" s="213"/>
      <c r="N270" s="214">
        <f>ROUND($L$270*$K$270,2)</f>
        <v>0</v>
      </c>
      <c r="O270" s="213"/>
      <c r="P270" s="213"/>
      <c r="Q270" s="213"/>
      <c r="R270" s="25"/>
      <c r="T270" s="139"/>
      <c r="U270" s="31" t="s">
        <v>41</v>
      </c>
      <c r="V270" s="140">
        <v>0.294</v>
      </c>
      <c r="W270" s="140">
        <f>$V$270*$K$270</f>
        <v>2.407272</v>
      </c>
      <c r="X270" s="140">
        <v>0.00368</v>
      </c>
      <c r="Y270" s="140">
        <f>$X$270*$K$270</f>
        <v>0.030131840000000003</v>
      </c>
      <c r="Z270" s="140">
        <v>0</v>
      </c>
      <c r="AA270" s="141">
        <f>$Z$270*$K$270</f>
        <v>0</v>
      </c>
      <c r="AR270" s="7" t="s">
        <v>167</v>
      </c>
      <c r="AT270" s="7" t="s">
        <v>163</v>
      </c>
      <c r="AU270" s="7" t="s">
        <v>106</v>
      </c>
      <c r="AY270" s="7" t="s">
        <v>161</v>
      </c>
      <c r="BE270" s="89">
        <f>IF($U$270="základní",$N$270,0)</f>
        <v>0</v>
      </c>
      <c r="BF270" s="89">
        <f>IF($U$270="snížená",$N$270,0)</f>
        <v>0</v>
      </c>
      <c r="BG270" s="89">
        <f>IF($U$270="zákl. přenesená",$N$270,0)</f>
        <v>0</v>
      </c>
      <c r="BH270" s="89">
        <f>IF($U$270="sníž. přenesená",$N$270,0)</f>
        <v>0</v>
      </c>
      <c r="BI270" s="89">
        <f>IF($U$270="nulová",$N$270,0)</f>
        <v>0</v>
      </c>
      <c r="BJ270" s="7" t="s">
        <v>16</v>
      </c>
      <c r="BK270" s="89">
        <f>ROUND($L$270*$K$270,2)</f>
        <v>0</v>
      </c>
      <c r="BL270" s="7" t="s">
        <v>167</v>
      </c>
    </row>
    <row r="271" spans="2:51" s="7" customFormat="1" ht="15.75" customHeight="1">
      <c r="B271" s="142"/>
      <c r="C271" s="143"/>
      <c r="D271" s="143"/>
      <c r="E271" s="143"/>
      <c r="F271" s="215" t="s">
        <v>364</v>
      </c>
      <c r="G271" s="216"/>
      <c r="H271" s="216"/>
      <c r="I271" s="216"/>
      <c r="J271" s="143"/>
      <c r="K271" s="144">
        <v>8.188</v>
      </c>
      <c r="L271" s="143"/>
      <c r="M271" s="143"/>
      <c r="N271" s="143"/>
      <c r="O271" s="143"/>
      <c r="P271" s="143"/>
      <c r="Q271" s="143"/>
      <c r="R271" s="145"/>
      <c r="T271" s="146"/>
      <c r="U271" s="143"/>
      <c r="V271" s="143"/>
      <c r="W271" s="143"/>
      <c r="X271" s="143"/>
      <c r="Y271" s="143"/>
      <c r="Z271" s="143"/>
      <c r="AA271" s="147"/>
      <c r="AT271" s="148" t="s">
        <v>169</v>
      </c>
      <c r="AU271" s="148" t="s">
        <v>106</v>
      </c>
      <c r="AV271" s="148" t="s">
        <v>106</v>
      </c>
      <c r="AW271" s="148" t="s">
        <v>114</v>
      </c>
      <c r="AX271" s="148" t="s">
        <v>16</v>
      </c>
      <c r="AY271" s="148" t="s">
        <v>161</v>
      </c>
    </row>
    <row r="272" spans="2:64" s="7" customFormat="1" ht="27" customHeight="1">
      <c r="B272" s="23"/>
      <c r="C272" s="135" t="s">
        <v>365</v>
      </c>
      <c r="D272" s="135" t="s">
        <v>163</v>
      </c>
      <c r="E272" s="136" t="s">
        <v>366</v>
      </c>
      <c r="F272" s="217" t="s">
        <v>367</v>
      </c>
      <c r="G272" s="213"/>
      <c r="H272" s="213"/>
      <c r="I272" s="213"/>
      <c r="J272" s="137" t="s">
        <v>214</v>
      </c>
      <c r="K272" s="138">
        <v>182.73</v>
      </c>
      <c r="L272" s="212">
        <v>0</v>
      </c>
      <c r="M272" s="213"/>
      <c r="N272" s="214">
        <f>ROUND($L$272*$K$272,2)</f>
        <v>0</v>
      </c>
      <c r="O272" s="213"/>
      <c r="P272" s="213"/>
      <c r="Q272" s="213"/>
      <c r="R272" s="25"/>
      <c r="T272" s="139"/>
      <c r="U272" s="31" t="s">
        <v>41</v>
      </c>
      <c r="V272" s="140">
        <v>0.245</v>
      </c>
      <c r="W272" s="140">
        <f>$V$272*$K$272</f>
        <v>44.76884999999999</v>
      </c>
      <c r="X272" s="140">
        <v>0.00268</v>
      </c>
      <c r="Y272" s="140">
        <f>$X$272*$K$272</f>
        <v>0.4897164</v>
      </c>
      <c r="Z272" s="140">
        <v>0</v>
      </c>
      <c r="AA272" s="141">
        <f>$Z$272*$K$272</f>
        <v>0</v>
      </c>
      <c r="AR272" s="7" t="s">
        <v>167</v>
      </c>
      <c r="AT272" s="7" t="s">
        <v>163</v>
      </c>
      <c r="AU272" s="7" t="s">
        <v>106</v>
      </c>
      <c r="AY272" s="7" t="s">
        <v>161</v>
      </c>
      <c r="BE272" s="89">
        <f>IF($U$272="základní",$N$272,0)</f>
        <v>0</v>
      </c>
      <c r="BF272" s="89">
        <f>IF($U$272="snížená",$N$272,0)</f>
        <v>0</v>
      </c>
      <c r="BG272" s="89">
        <f>IF($U$272="zákl. přenesená",$N$272,0)</f>
        <v>0</v>
      </c>
      <c r="BH272" s="89">
        <f>IF($U$272="sníž. přenesená",$N$272,0)</f>
        <v>0</v>
      </c>
      <c r="BI272" s="89">
        <f>IF($U$272="nulová",$N$272,0)</f>
        <v>0</v>
      </c>
      <c r="BJ272" s="7" t="s">
        <v>16</v>
      </c>
      <c r="BK272" s="89">
        <f>ROUND($L$272*$K$272,2)</f>
        <v>0</v>
      </c>
      <c r="BL272" s="7" t="s">
        <v>167</v>
      </c>
    </row>
    <row r="273" spans="2:51" s="7" customFormat="1" ht="15.75" customHeight="1">
      <c r="B273" s="142"/>
      <c r="C273" s="143"/>
      <c r="D273" s="143"/>
      <c r="E273" s="143"/>
      <c r="F273" s="215" t="s">
        <v>368</v>
      </c>
      <c r="G273" s="216"/>
      <c r="H273" s="216"/>
      <c r="I273" s="216"/>
      <c r="J273" s="143"/>
      <c r="K273" s="144">
        <v>153.652</v>
      </c>
      <c r="L273" s="143"/>
      <c r="M273" s="143"/>
      <c r="N273" s="143"/>
      <c r="O273" s="143"/>
      <c r="P273" s="143"/>
      <c r="Q273" s="143"/>
      <c r="R273" s="145"/>
      <c r="T273" s="146"/>
      <c r="U273" s="143"/>
      <c r="V273" s="143"/>
      <c r="W273" s="143"/>
      <c r="X273" s="143"/>
      <c r="Y273" s="143"/>
      <c r="Z273" s="143"/>
      <c r="AA273" s="147"/>
      <c r="AT273" s="148" t="s">
        <v>169</v>
      </c>
      <c r="AU273" s="148" t="s">
        <v>106</v>
      </c>
      <c r="AV273" s="148" t="s">
        <v>106</v>
      </c>
      <c r="AW273" s="148" t="s">
        <v>114</v>
      </c>
      <c r="AX273" s="148" t="s">
        <v>76</v>
      </c>
      <c r="AY273" s="148" t="s">
        <v>161</v>
      </c>
    </row>
    <row r="274" spans="2:51" s="7" customFormat="1" ht="15.75" customHeight="1">
      <c r="B274" s="142"/>
      <c r="C274" s="143"/>
      <c r="D274" s="143"/>
      <c r="E274" s="143"/>
      <c r="F274" s="215" t="s">
        <v>345</v>
      </c>
      <c r="G274" s="216"/>
      <c r="H274" s="216"/>
      <c r="I274" s="216"/>
      <c r="J274" s="143"/>
      <c r="K274" s="144">
        <v>-35.145</v>
      </c>
      <c r="L274" s="143"/>
      <c r="M274" s="143"/>
      <c r="N274" s="143"/>
      <c r="O274" s="143"/>
      <c r="P274" s="143"/>
      <c r="Q274" s="143"/>
      <c r="R274" s="145"/>
      <c r="T274" s="146"/>
      <c r="U274" s="143"/>
      <c r="V274" s="143"/>
      <c r="W274" s="143"/>
      <c r="X274" s="143"/>
      <c r="Y274" s="143"/>
      <c r="Z274" s="143"/>
      <c r="AA274" s="147"/>
      <c r="AT274" s="148" t="s">
        <v>169</v>
      </c>
      <c r="AU274" s="148" t="s">
        <v>106</v>
      </c>
      <c r="AV274" s="148" t="s">
        <v>106</v>
      </c>
      <c r="AW274" s="148" t="s">
        <v>114</v>
      </c>
      <c r="AX274" s="148" t="s">
        <v>76</v>
      </c>
      <c r="AY274" s="148" t="s">
        <v>161</v>
      </c>
    </row>
    <row r="275" spans="2:51" s="7" customFormat="1" ht="15.75" customHeight="1">
      <c r="B275" s="142"/>
      <c r="C275" s="143"/>
      <c r="D275" s="143"/>
      <c r="E275" s="143"/>
      <c r="F275" s="215" t="s">
        <v>346</v>
      </c>
      <c r="G275" s="216"/>
      <c r="H275" s="216"/>
      <c r="I275" s="216"/>
      <c r="J275" s="143"/>
      <c r="K275" s="144">
        <v>13.365</v>
      </c>
      <c r="L275" s="143"/>
      <c r="M275" s="143"/>
      <c r="N275" s="143"/>
      <c r="O275" s="143"/>
      <c r="P275" s="143"/>
      <c r="Q275" s="143"/>
      <c r="R275" s="145"/>
      <c r="T275" s="146"/>
      <c r="U275" s="143"/>
      <c r="V275" s="143"/>
      <c r="W275" s="143"/>
      <c r="X275" s="143"/>
      <c r="Y275" s="143"/>
      <c r="Z275" s="143"/>
      <c r="AA275" s="147"/>
      <c r="AT275" s="148" t="s">
        <v>169</v>
      </c>
      <c r="AU275" s="148" t="s">
        <v>106</v>
      </c>
      <c r="AV275" s="148" t="s">
        <v>106</v>
      </c>
      <c r="AW275" s="148" t="s">
        <v>114</v>
      </c>
      <c r="AX275" s="148" t="s">
        <v>76</v>
      </c>
      <c r="AY275" s="148" t="s">
        <v>161</v>
      </c>
    </row>
    <row r="276" spans="2:51" s="7" customFormat="1" ht="15.75" customHeight="1">
      <c r="B276" s="142"/>
      <c r="C276" s="143"/>
      <c r="D276" s="143"/>
      <c r="E276" s="143"/>
      <c r="F276" s="215" t="s">
        <v>347</v>
      </c>
      <c r="G276" s="216"/>
      <c r="H276" s="216"/>
      <c r="I276" s="216"/>
      <c r="J276" s="143"/>
      <c r="K276" s="144">
        <v>0.788</v>
      </c>
      <c r="L276" s="143"/>
      <c r="M276" s="143"/>
      <c r="N276" s="143"/>
      <c r="O276" s="143"/>
      <c r="P276" s="143"/>
      <c r="Q276" s="143"/>
      <c r="R276" s="145"/>
      <c r="T276" s="146"/>
      <c r="U276" s="143"/>
      <c r="V276" s="143"/>
      <c r="W276" s="143"/>
      <c r="X276" s="143"/>
      <c r="Y276" s="143"/>
      <c r="Z276" s="143"/>
      <c r="AA276" s="147"/>
      <c r="AT276" s="148" t="s">
        <v>169</v>
      </c>
      <c r="AU276" s="148" t="s">
        <v>106</v>
      </c>
      <c r="AV276" s="148" t="s">
        <v>106</v>
      </c>
      <c r="AW276" s="148" t="s">
        <v>114</v>
      </c>
      <c r="AX276" s="148" t="s">
        <v>76</v>
      </c>
      <c r="AY276" s="148" t="s">
        <v>161</v>
      </c>
    </row>
    <row r="277" spans="2:51" s="7" customFormat="1" ht="15.75" customHeight="1">
      <c r="B277" s="142"/>
      <c r="C277" s="143"/>
      <c r="D277" s="143"/>
      <c r="E277" s="143"/>
      <c r="F277" s="215" t="s">
        <v>348</v>
      </c>
      <c r="G277" s="216"/>
      <c r="H277" s="216"/>
      <c r="I277" s="216"/>
      <c r="J277" s="143"/>
      <c r="K277" s="144">
        <v>0.75</v>
      </c>
      <c r="L277" s="143"/>
      <c r="M277" s="143"/>
      <c r="N277" s="143"/>
      <c r="O277" s="143"/>
      <c r="P277" s="143"/>
      <c r="Q277" s="143"/>
      <c r="R277" s="145"/>
      <c r="T277" s="146"/>
      <c r="U277" s="143"/>
      <c r="V277" s="143"/>
      <c r="W277" s="143"/>
      <c r="X277" s="143"/>
      <c r="Y277" s="143"/>
      <c r="Z277" s="143"/>
      <c r="AA277" s="147"/>
      <c r="AT277" s="148" t="s">
        <v>169</v>
      </c>
      <c r="AU277" s="148" t="s">
        <v>106</v>
      </c>
      <c r="AV277" s="148" t="s">
        <v>106</v>
      </c>
      <c r="AW277" s="148" t="s">
        <v>114</v>
      </c>
      <c r="AX277" s="148" t="s">
        <v>76</v>
      </c>
      <c r="AY277" s="148" t="s">
        <v>161</v>
      </c>
    </row>
    <row r="278" spans="2:51" s="7" customFormat="1" ht="15.75" customHeight="1">
      <c r="B278" s="142"/>
      <c r="C278" s="143"/>
      <c r="D278" s="143"/>
      <c r="E278" s="143"/>
      <c r="F278" s="215" t="s">
        <v>359</v>
      </c>
      <c r="G278" s="216"/>
      <c r="H278" s="216"/>
      <c r="I278" s="216"/>
      <c r="J278" s="143"/>
      <c r="K278" s="144">
        <v>48.045</v>
      </c>
      <c r="L278" s="143"/>
      <c r="M278" s="143"/>
      <c r="N278" s="143"/>
      <c r="O278" s="143"/>
      <c r="P278" s="143"/>
      <c r="Q278" s="143"/>
      <c r="R278" s="145"/>
      <c r="T278" s="146"/>
      <c r="U278" s="143"/>
      <c r="V278" s="143"/>
      <c r="W278" s="143"/>
      <c r="X278" s="143"/>
      <c r="Y278" s="143"/>
      <c r="Z278" s="143"/>
      <c r="AA278" s="147"/>
      <c r="AT278" s="148" t="s">
        <v>169</v>
      </c>
      <c r="AU278" s="148" t="s">
        <v>106</v>
      </c>
      <c r="AV278" s="148" t="s">
        <v>106</v>
      </c>
      <c r="AW278" s="148" t="s">
        <v>114</v>
      </c>
      <c r="AX278" s="148" t="s">
        <v>76</v>
      </c>
      <c r="AY278" s="148" t="s">
        <v>161</v>
      </c>
    </row>
    <row r="279" spans="2:51" s="7" customFormat="1" ht="15.75" customHeight="1">
      <c r="B279" s="142"/>
      <c r="C279" s="143"/>
      <c r="D279" s="143"/>
      <c r="E279" s="143"/>
      <c r="F279" s="215" t="s">
        <v>360</v>
      </c>
      <c r="G279" s="216"/>
      <c r="H279" s="216"/>
      <c r="I279" s="216"/>
      <c r="J279" s="143"/>
      <c r="K279" s="144">
        <v>1.275</v>
      </c>
      <c r="L279" s="143"/>
      <c r="M279" s="143"/>
      <c r="N279" s="143"/>
      <c r="O279" s="143"/>
      <c r="P279" s="143"/>
      <c r="Q279" s="143"/>
      <c r="R279" s="145"/>
      <c r="T279" s="146"/>
      <c r="U279" s="143"/>
      <c r="V279" s="143"/>
      <c r="W279" s="143"/>
      <c r="X279" s="143"/>
      <c r="Y279" s="143"/>
      <c r="Z279" s="143"/>
      <c r="AA279" s="147"/>
      <c r="AT279" s="148" t="s">
        <v>169</v>
      </c>
      <c r="AU279" s="148" t="s">
        <v>106</v>
      </c>
      <c r="AV279" s="148" t="s">
        <v>106</v>
      </c>
      <c r="AW279" s="148" t="s">
        <v>114</v>
      </c>
      <c r="AX279" s="148" t="s">
        <v>76</v>
      </c>
      <c r="AY279" s="148" t="s">
        <v>161</v>
      </c>
    </row>
    <row r="280" spans="2:51" s="7" customFormat="1" ht="15.75" customHeight="1">
      <c r="B280" s="149"/>
      <c r="C280" s="150"/>
      <c r="D280" s="150"/>
      <c r="E280" s="150"/>
      <c r="F280" s="223" t="s">
        <v>178</v>
      </c>
      <c r="G280" s="224"/>
      <c r="H280" s="224"/>
      <c r="I280" s="224"/>
      <c r="J280" s="150"/>
      <c r="K280" s="151">
        <v>182.73</v>
      </c>
      <c r="L280" s="150"/>
      <c r="M280" s="150"/>
      <c r="N280" s="150"/>
      <c r="O280" s="150"/>
      <c r="P280" s="150"/>
      <c r="Q280" s="150"/>
      <c r="R280" s="152"/>
      <c r="T280" s="153"/>
      <c r="U280" s="150"/>
      <c r="V280" s="150"/>
      <c r="W280" s="150"/>
      <c r="X280" s="150"/>
      <c r="Y280" s="150"/>
      <c r="Z280" s="150"/>
      <c r="AA280" s="154"/>
      <c r="AT280" s="155" t="s">
        <v>169</v>
      </c>
      <c r="AU280" s="155" t="s">
        <v>106</v>
      </c>
      <c r="AV280" s="155" t="s">
        <v>167</v>
      </c>
      <c r="AW280" s="155" t="s">
        <v>114</v>
      </c>
      <c r="AX280" s="155" t="s">
        <v>16</v>
      </c>
      <c r="AY280" s="155" t="s">
        <v>161</v>
      </c>
    </row>
    <row r="281" spans="2:64" s="7" customFormat="1" ht="15.75" customHeight="1">
      <c r="B281" s="23"/>
      <c r="C281" s="135" t="s">
        <v>369</v>
      </c>
      <c r="D281" s="135" t="s">
        <v>163</v>
      </c>
      <c r="E281" s="136" t="s">
        <v>370</v>
      </c>
      <c r="F281" s="217" t="s">
        <v>371</v>
      </c>
      <c r="G281" s="213"/>
      <c r="H281" s="213"/>
      <c r="I281" s="213"/>
      <c r="J281" s="137" t="s">
        <v>214</v>
      </c>
      <c r="K281" s="138">
        <v>13.665</v>
      </c>
      <c r="L281" s="212">
        <v>0</v>
      </c>
      <c r="M281" s="213"/>
      <c r="N281" s="214">
        <f>ROUND($L$281*$K$281,2)</f>
        <v>0</v>
      </c>
      <c r="O281" s="213"/>
      <c r="P281" s="213"/>
      <c r="Q281" s="213"/>
      <c r="R281" s="25"/>
      <c r="T281" s="139"/>
      <c r="U281" s="31" t="s">
        <v>41</v>
      </c>
      <c r="V281" s="140">
        <v>0.02</v>
      </c>
      <c r="W281" s="140">
        <f>$V$281*$K$281</f>
        <v>0.2733</v>
      </c>
      <c r="X281" s="140">
        <v>0.00012</v>
      </c>
      <c r="Y281" s="140">
        <f>$X$281*$K$281</f>
        <v>0.0016397999999999999</v>
      </c>
      <c r="Z281" s="140">
        <v>0</v>
      </c>
      <c r="AA281" s="141">
        <f>$Z$281*$K$281</f>
        <v>0</v>
      </c>
      <c r="AR281" s="7" t="s">
        <v>167</v>
      </c>
      <c r="AT281" s="7" t="s">
        <v>163</v>
      </c>
      <c r="AU281" s="7" t="s">
        <v>106</v>
      </c>
      <c r="AY281" s="7" t="s">
        <v>161</v>
      </c>
      <c r="BE281" s="89">
        <f>IF($U$281="základní",$N$281,0)</f>
        <v>0</v>
      </c>
      <c r="BF281" s="89">
        <f>IF($U$281="snížená",$N$281,0)</f>
        <v>0</v>
      </c>
      <c r="BG281" s="89">
        <f>IF($U$281="zákl. přenesená",$N$281,0)</f>
        <v>0</v>
      </c>
      <c r="BH281" s="89">
        <f>IF($U$281="sníž. přenesená",$N$281,0)</f>
        <v>0</v>
      </c>
      <c r="BI281" s="89">
        <f>IF($U$281="nulová",$N$281,0)</f>
        <v>0</v>
      </c>
      <c r="BJ281" s="7" t="s">
        <v>16</v>
      </c>
      <c r="BK281" s="89">
        <f>ROUND($L$281*$K$281,2)</f>
        <v>0</v>
      </c>
      <c r="BL281" s="7" t="s">
        <v>167</v>
      </c>
    </row>
    <row r="282" spans="2:51" s="7" customFormat="1" ht="15.75" customHeight="1">
      <c r="B282" s="142"/>
      <c r="C282" s="143"/>
      <c r="D282" s="143"/>
      <c r="E282" s="143"/>
      <c r="F282" s="215" t="s">
        <v>372</v>
      </c>
      <c r="G282" s="216"/>
      <c r="H282" s="216"/>
      <c r="I282" s="216"/>
      <c r="J282" s="143"/>
      <c r="K282" s="144">
        <v>13.665</v>
      </c>
      <c r="L282" s="143"/>
      <c r="M282" s="143"/>
      <c r="N282" s="143"/>
      <c r="O282" s="143"/>
      <c r="P282" s="143"/>
      <c r="Q282" s="143"/>
      <c r="R282" s="145"/>
      <c r="T282" s="146"/>
      <c r="U282" s="143"/>
      <c r="V282" s="143"/>
      <c r="W282" s="143"/>
      <c r="X282" s="143"/>
      <c r="Y282" s="143"/>
      <c r="Z282" s="143"/>
      <c r="AA282" s="147"/>
      <c r="AT282" s="148" t="s">
        <v>169</v>
      </c>
      <c r="AU282" s="148" t="s">
        <v>106</v>
      </c>
      <c r="AV282" s="148" t="s">
        <v>106</v>
      </c>
      <c r="AW282" s="148" t="s">
        <v>114</v>
      </c>
      <c r="AX282" s="148" t="s">
        <v>16</v>
      </c>
      <c r="AY282" s="148" t="s">
        <v>161</v>
      </c>
    </row>
    <row r="283" spans="2:64" s="7" customFormat="1" ht="15.75" customHeight="1">
      <c r="B283" s="23"/>
      <c r="C283" s="135" t="s">
        <v>373</v>
      </c>
      <c r="D283" s="135" t="s">
        <v>163</v>
      </c>
      <c r="E283" s="136" t="s">
        <v>374</v>
      </c>
      <c r="F283" s="217" t="s">
        <v>375</v>
      </c>
      <c r="G283" s="213"/>
      <c r="H283" s="213"/>
      <c r="I283" s="213"/>
      <c r="J283" s="137" t="s">
        <v>214</v>
      </c>
      <c r="K283" s="138">
        <v>122.9</v>
      </c>
      <c r="L283" s="212">
        <v>0</v>
      </c>
      <c r="M283" s="213"/>
      <c r="N283" s="214">
        <f>ROUND($L$283*$K$283,2)</f>
        <v>0</v>
      </c>
      <c r="O283" s="213"/>
      <c r="P283" s="213"/>
      <c r="Q283" s="213"/>
      <c r="R283" s="25"/>
      <c r="T283" s="139"/>
      <c r="U283" s="31" t="s">
        <v>41</v>
      </c>
      <c r="V283" s="140">
        <v>0.14</v>
      </c>
      <c r="W283" s="140">
        <f>$V$283*$K$283</f>
        <v>17.206000000000003</v>
      </c>
      <c r="X283" s="140">
        <v>0</v>
      </c>
      <c r="Y283" s="140">
        <f>$X$283*$K$283</f>
        <v>0</v>
      </c>
      <c r="Z283" s="140">
        <v>0</v>
      </c>
      <c r="AA283" s="141">
        <f>$Z$283*$K$283</f>
        <v>0</v>
      </c>
      <c r="AR283" s="7" t="s">
        <v>167</v>
      </c>
      <c r="AT283" s="7" t="s">
        <v>163</v>
      </c>
      <c r="AU283" s="7" t="s">
        <v>106</v>
      </c>
      <c r="AY283" s="7" t="s">
        <v>161</v>
      </c>
      <c r="BE283" s="89">
        <f>IF($U$283="základní",$N$283,0)</f>
        <v>0</v>
      </c>
      <c r="BF283" s="89">
        <f>IF($U$283="snížená",$N$283,0)</f>
        <v>0</v>
      </c>
      <c r="BG283" s="89">
        <f>IF($U$283="zákl. přenesená",$N$283,0)</f>
        <v>0</v>
      </c>
      <c r="BH283" s="89">
        <f>IF($U$283="sníž. přenesená",$N$283,0)</f>
        <v>0</v>
      </c>
      <c r="BI283" s="89">
        <f>IF($U$283="nulová",$N$283,0)</f>
        <v>0</v>
      </c>
      <c r="BJ283" s="7" t="s">
        <v>16</v>
      </c>
      <c r="BK283" s="89">
        <f>ROUND($L$283*$K$283,2)</f>
        <v>0</v>
      </c>
      <c r="BL283" s="7" t="s">
        <v>167</v>
      </c>
    </row>
    <row r="284" spans="2:51" s="7" customFormat="1" ht="15.75" customHeight="1">
      <c r="B284" s="142"/>
      <c r="C284" s="143"/>
      <c r="D284" s="143"/>
      <c r="E284" s="143"/>
      <c r="F284" s="215" t="s">
        <v>376</v>
      </c>
      <c r="G284" s="216"/>
      <c r="H284" s="216"/>
      <c r="I284" s="216"/>
      <c r="J284" s="143"/>
      <c r="K284" s="144">
        <v>122.9</v>
      </c>
      <c r="L284" s="143"/>
      <c r="M284" s="143"/>
      <c r="N284" s="143"/>
      <c r="O284" s="143"/>
      <c r="P284" s="143"/>
      <c r="Q284" s="143"/>
      <c r="R284" s="145"/>
      <c r="T284" s="146"/>
      <c r="U284" s="143"/>
      <c r="V284" s="143"/>
      <c r="W284" s="143"/>
      <c r="X284" s="143"/>
      <c r="Y284" s="143"/>
      <c r="Z284" s="143"/>
      <c r="AA284" s="147"/>
      <c r="AT284" s="148" t="s">
        <v>169</v>
      </c>
      <c r="AU284" s="148" t="s">
        <v>106</v>
      </c>
      <c r="AV284" s="148" t="s">
        <v>106</v>
      </c>
      <c r="AW284" s="148" t="s">
        <v>114</v>
      </c>
      <c r="AX284" s="148" t="s">
        <v>16</v>
      </c>
      <c r="AY284" s="148" t="s">
        <v>161</v>
      </c>
    </row>
    <row r="285" spans="2:64" s="7" customFormat="1" ht="27" customHeight="1">
      <c r="B285" s="23"/>
      <c r="C285" s="135" t="s">
        <v>377</v>
      </c>
      <c r="D285" s="135" t="s">
        <v>163</v>
      </c>
      <c r="E285" s="136" t="s">
        <v>378</v>
      </c>
      <c r="F285" s="217" t="s">
        <v>379</v>
      </c>
      <c r="G285" s="213"/>
      <c r="H285" s="213"/>
      <c r="I285" s="213"/>
      <c r="J285" s="137" t="s">
        <v>166</v>
      </c>
      <c r="K285" s="138">
        <v>22.119</v>
      </c>
      <c r="L285" s="212">
        <v>0</v>
      </c>
      <c r="M285" s="213"/>
      <c r="N285" s="214">
        <f>ROUND($L$285*$K$285,2)</f>
        <v>0</v>
      </c>
      <c r="O285" s="213"/>
      <c r="P285" s="213"/>
      <c r="Q285" s="213"/>
      <c r="R285" s="25"/>
      <c r="T285" s="139"/>
      <c r="U285" s="31" t="s">
        <v>41</v>
      </c>
      <c r="V285" s="140">
        <v>2.58</v>
      </c>
      <c r="W285" s="140">
        <f>$V$285*$K$285</f>
        <v>57.06702</v>
      </c>
      <c r="X285" s="140">
        <v>2.25634</v>
      </c>
      <c r="Y285" s="140">
        <f>$X$285*$K$285</f>
        <v>49.907984459999994</v>
      </c>
      <c r="Z285" s="140">
        <v>0</v>
      </c>
      <c r="AA285" s="141">
        <f>$Z$285*$K$285</f>
        <v>0</v>
      </c>
      <c r="AR285" s="7" t="s">
        <v>167</v>
      </c>
      <c r="AT285" s="7" t="s">
        <v>163</v>
      </c>
      <c r="AU285" s="7" t="s">
        <v>106</v>
      </c>
      <c r="AY285" s="7" t="s">
        <v>161</v>
      </c>
      <c r="BE285" s="89">
        <f>IF($U$285="základní",$N$285,0)</f>
        <v>0</v>
      </c>
      <c r="BF285" s="89">
        <f>IF($U$285="snížená",$N$285,0)</f>
        <v>0</v>
      </c>
      <c r="BG285" s="89">
        <f>IF($U$285="zákl. přenesená",$N$285,0)</f>
        <v>0</v>
      </c>
      <c r="BH285" s="89">
        <f>IF($U$285="sníž. přenesená",$N$285,0)</f>
        <v>0</v>
      </c>
      <c r="BI285" s="89">
        <f>IF($U$285="nulová",$N$285,0)</f>
        <v>0</v>
      </c>
      <c r="BJ285" s="7" t="s">
        <v>16</v>
      </c>
      <c r="BK285" s="89">
        <f>ROUND($L$285*$K$285,2)</f>
        <v>0</v>
      </c>
      <c r="BL285" s="7" t="s">
        <v>167</v>
      </c>
    </row>
    <row r="286" spans="2:51" s="7" customFormat="1" ht="15.75" customHeight="1">
      <c r="B286" s="142"/>
      <c r="C286" s="143"/>
      <c r="D286" s="143"/>
      <c r="E286" s="143"/>
      <c r="F286" s="215" t="s">
        <v>380</v>
      </c>
      <c r="G286" s="216"/>
      <c r="H286" s="216"/>
      <c r="I286" s="216"/>
      <c r="J286" s="143"/>
      <c r="K286" s="144">
        <v>7.371</v>
      </c>
      <c r="L286" s="143"/>
      <c r="M286" s="143"/>
      <c r="N286" s="143"/>
      <c r="O286" s="143"/>
      <c r="P286" s="143"/>
      <c r="Q286" s="143"/>
      <c r="R286" s="145"/>
      <c r="T286" s="146"/>
      <c r="U286" s="143"/>
      <c r="V286" s="143"/>
      <c r="W286" s="143"/>
      <c r="X286" s="143"/>
      <c r="Y286" s="143"/>
      <c r="Z286" s="143"/>
      <c r="AA286" s="147"/>
      <c r="AT286" s="148" t="s">
        <v>169</v>
      </c>
      <c r="AU286" s="148" t="s">
        <v>106</v>
      </c>
      <c r="AV286" s="148" t="s">
        <v>106</v>
      </c>
      <c r="AW286" s="148" t="s">
        <v>114</v>
      </c>
      <c r="AX286" s="148" t="s">
        <v>76</v>
      </c>
      <c r="AY286" s="148" t="s">
        <v>161</v>
      </c>
    </row>
    <row r="287" spans="2:51" s="7" customFormat="1" ht="15.75" customHeight="1">
      <c r="B287" s="142"/>
      <c r="C287" s="143"/>
      <c r="D287" s="143"/>
      <c r="E287" s="143"/>
      <c r="F287" s="215" t="s">
        <v>381</v>
      </c>
      <c r="G287" s="216"/>
      <c r="H287" s="216"/>
      <c r="I287" s="216"/>
      <c r="J287" s="143"/>
      <c r="K287" s="144">
        <v>14.748</v>
      </c>
      <c r="L287" s="143"/>
      <c r="M287" s="143"/>
      <c r="N287" s="143"/>
      <c r="O287" s="143"/>
      <c r="P287" s="143"/>
      <c r="Q287" s="143"/>
      <c r="R287" s="145"/>
      <c r="T287" s="146"/>
      <c r="U287" s="143"/>
      <c r="V287" s="143"/>
      <c r="W287" s="143"/>
      <c r="X287" s="143"/>
      <c r="Y287" s="143"/>
      <c r="Z287" s="143"/>
      <c r="AA287" s="147"/>
      <c r="AT287" s="148" t="s">
        <v>169</v>
      </c>
      <c r="AU287" s="148" t="s">
        <v>106</v>
      </c>
      <c r="AV287" s="148" t="s">
        <v>106</v>
      </c>
      <c r="AW287" s="148" t="s">
        <v>114</v>
      </c>
      <c r="AX287" s="148" t="s">
        <v>76</v>
      </c>
      <c r="AY287" s="148" t="s">
        <v>161</v>
      </c>
    </row>
    <row r="288" spans="2:51" s="7" customFormat="1" ht="15.75" customHeight="1">
      <c r="B288" s="149"/>
      <c r="C288" s="150"/>
      <c r="D288" s="150"/>
      <c r="E288" s="150"/>
      <c r="F288" s="223" t="s">
        <v>178</v>
      </c>
      <c r="G288" s="224"/>
      <c r="H288" s="224"/>
      <c r="I288" s="224"/>
      <c r="J288" s="150"/>
      <c r="K288" s="151">
        <v>22.119</v>
      </c>
      <c r="L288" s="150"/>
      <c r="M288" s="150"/>
      <c r="N288" s="150"/>
      <c r="O288" s="150"/>
      <c r="P288" s="150"/>
      <c r="Q288" s="150"/>
      <c r="R288" s="152"/>
      <c r="T288" s="153"/>
      <c r="U288" s="150"/>
      <c r="V288" s="150"/>
      <c r="W288" s="150"/>
      <c r="X288" s="150"/>
      <c r="Y288" s="150"/>
      <c r="Z288" s="150"/>
      <c r="AA288" s="154"/>
      <c r="AT288" s="155" t="s">
        <v>169</v>
      </c>
      <c r="AU288" s="155" t="s">
        <v>106</v>
      </c>
      <c r="AV288" s="155" t="s">
        <v>167</v>
      </c>
      <c r="AW288" s="155" t="s">
        <v>114</v>
      </c>
      <c r="AX288" s="155" t="s">
        <v>16</v>
      </c>
      <c r="AY288" s="155" t="s">
        <v>161</v>
      </c>
    </row>
    <row r="289" spans="2:64" s="7" customFormat="1" ht="27" customHeight="1">
      <c r="B289" s="23"/>
      <c r="C289" s="135" t="s">
        <v>382</v>
      </c>
      <c r="D289" s="135" t="s">
        <v>163</v>
      </c>
      <c r="E289" s="136" t="s">
        <v>383</v>
      </c>
      <c r="F289" s="217" t="s">
        <v>384</v>
      </c>
      <c r="G289" s="213"/>
      <c r="H289" s="213"/>
      <c r="I289" s="213"/>
      <c r="J289" s="137" t="s">
        <v>166</v>
      </c>
      <c r="K289" s="138">
        <v>14.748</v>
      </c>
      <c r="L289" s="212">
        <v>0</v>
      </c>
      <c r="M289" s="213"/>
      <c r="N289" s="214">
        <f>ROUND($L$289*$K$289,2)</f>
        <v>0</v>
      </c>
      <c r="O289" s="213"/>
      <c r="P289" s="213"/>
      <c r="Q289" s="213"/>
      <c r="R289" s="25"/>
      <c r="T289" s="139"/>
      <c r="U289" s="31" t="s">
        <v>41</v>
      </c>
      <c r="V289" s="140">
        <v>1.35</v>
      </c>
      <c r="W289" s="140">
        <f>$V$289*$K$289</f>
        <v>19.9098</v>
      </c>
      <c r="X289" s="140">
        <v>0.02</v>
      </c>
      <c r="Y289" s="140">
        <f>$X$289*$K$289</f>
        <v>0.29496</v>
      </c>
      <c r="Z289" s="140">
        <v>0</v>
      </c>
      <c r="AA289" s="141">
        <f>$Z$289*$K$289</f>
        <v>0</v>
      </c>
      <c r="AR289" s="7" t="s">
        <v>167</v>
      </c>
      <c r="AT289" s="7" t="s">
        <v>163</v>
      </c>
      <c r="AU289" s="7" t="s">
        <v>106</v>
      </c>
      <c r="AY289" s="7" t="s">
        <v>161</v>
      </c>
      <c r="BE289" s="89">
        <f>IF($U$289="základní",$N$289,0)</f>
        <v>0</v>
      </c>
      <c r="BF289" s="89">
        <f>IF($U$289="snížená",$N$289,0)</f>
        <v>0</v>
      </c>
      <c r="BG289" s="89">
        <f>IF($U$289="zákl. přenesená",$N$289,0)</f>
        <v>0</v>
      </c>
      <c r="BH289" s="89">
        <f>IF($U$289="sníž. přenesená",$N$289,0)</f>
        <v>0</v>
      </c>
      <c r="BI289" s="89">
        <f>IF($U$289="nulová",$N$289,0)</f>
        <v>0</v>
      </c>
      <c r="BJ289" s="7" t="s">
        <v>16</v>
      </c>
      <c r="BK289" s="89">
        <f>ROUND($L$289*$K$289,2)</f>
        <v>0</v>
      </c>
      <c r="BL289" s="7" t="s">
        <v>167</v>
      </c>
    </row>
    <row r="290" spans="2:51" s="7" customFormat="1" ht="15.75" customHeight="1">
      <c r="B290" s="142"/>
      <c r="C290" s="143"/>
      <c r="D290" s="143"/>
      <c r="E290" s="143"/>
      <c r="F290" s="215" t="s">
        <v>385</v>
      </c>
      <c r="G290" s="216"/>
      <c r="H290" s="216"/>
      <c r="I290" s="216"/>
      <c r="J290" s="143"/>
      <c r="K290" s="144">
        <v>14.748</v>
      </c>
      <c r="L290" s="143"/>
      <c r="M290" s="143"/>
      <c r="N290" s="143"/>
      <c r="O290" s="143"/>
      <c r="P290" s="143"/>
      <c r="Q290" s="143"/>
      <c r="R290" s="145"/>
      <c r="T290" s="146"/>
      <c r="U290" s="143"/>
      <c r="V290" s="143"/>
      <c r="W290" s="143"/>
      <c r="X290" s="143"/>
      <c r="Y290" s="143"/>
      <c r="Z290" s="143"/>
      <c r="AA290" s="147"/>
      <c r="AT290" s="148" t="s">
        <v>169</v>
      </c>
      <c r="AU290" s="148" t="s">
        <v>106</v>
      </c>
      <c r="AV290" s="148" t="s">
        <v>106</v>
      </c>
      <c r="AW290" s="148" t="s">
        <v>114</v>
      </c>
      <c r="AX290" s="148" t="s">
        <v>16</v>
      </c>
      <c r="AY290" s="148" t="s">
        <v>161</v>
      </c>
    </row>
    <row r="291" spans="2:64" s="7" customFormat="1" ht="27" customHeight="1">
      <c r="B291" s="23"/>
      <c r="C291" s="135" t="s">
        <v>386</v>
      </c>
      <c r="D291" s="135" t="s">
        <v>163</v>
      </c>
      <c r="E291" s="136" t="s">
        <v>387</v>
      </c>
      <c r="F291" s="217" t="s">
        <v>388</v>
      </c>
      <c r="G291" s="213"/>
      <c r="H291" s="213"/>
      <c r="I291" s="213"/>
      <c r="J291" s="137" t="s">
        <v>166</v>
      </c>
      <c r="K291" s="138">
        <v>29.49</v>
      </c>
      <c r="L291" s="212">
        <v>0</v>
      </c>
      <c r="M291" s="213"/>
      <c r="N291" s="214">
        <f>ROUND($L$291*$K$291,2)</f>
        <v>0</v>
      </c>
      <c r="O291" s="213"/>
      <c r="P291" s="213"/>
      <c r="Q291" s="213"/>
      <c r="R291" s="25"/>
      <c r="T291" s="139"/>
      <c r="U291" s="31" t="s">
        <v>41</v>
      </c>
      <c r="V291" s="140">
        <v>0.41</v>
      </c>
      <c r="W291" s="140">
        <f>$V$291*$K$291</f>
        <v>12.090899999999998</v>
      </c>
      <c r="X291" s="140">
        <v>0</v>
      </c>
      <c r="Y291" s="140">
        <f>$X$291*$K$291</f>
        <v>0</v>
      </c>
      <c r="Z291" s="140">
        <v>0</v>
      </c>
      <c r="AA291" s="141">
        <f>$Z$291*$K$291</f>
        <v>0</v>
      </c>
      <c r="AR291" s="7" t="s">
        <v>167</v>
      </c>
      <c r="AT291" s="7" t="s">
        <v>163</v>
      </c>
      <c r="AU291" s="7" t="s">
        <v>106</v>
      </c>
      <c r="AY291" s="7" t="s">
        <v>161</v>
      </c>
      <c r="BE291" s="89">
        <f>IF($U$291="základní",$N$291,0)</f>
        <v>0</v>
      </c>
      <c r="BF291" s="89">
        <f>IF($U$291="snížená",$N$291,0)</f>
        <v>0</v>
      </c>
      <c r="BG291" s="89">
        <f>IF($U$291="zákl. přenesená",$N$291,0)</f>
        <v>0</v>
      </c>
      <c r="BH291" s="89">
        <f>IF($U$291="sníž. přenesená",$N$291,0)</f>
        <v>0</v>
      </c>
      <c r="BI291" s="89">
        <f>IF($U$291="nulová",$N$291,0)</f>
        <v>0</v>
      </c>
      <c r="BJ291" s="7" t="s">
        <v>16</v>
      </c>
      <c r="BK291" s="89">
        <f>ROUND($L$291*$K$291,2)</f>
        <v>0</v>
      </c>
      <c r="BL291" s="7" t="s">
        <v>167</v>
      </c>
    </row>
    <row r="292" spans="2:51" s="7" customFormat="1" ht="15.75" customHeight="1">
      <c r="B292" s="142"/>
      <c r="C292" s="143"/>
      <c r="D292" s="143"/>
      <c r="E292" s="143"/>
      <c r="F292" s="215" t="s">
        <v>389</v>
      </c>
      <c r="G292" s="216"/>
      <c r="H292" s="216"/>
      <c r="I292" s="216"/>
      <c r="J292" s="143"/>
      <c r="K292" s="144">
        <v>14.742</v>
      </c>
      <c r="L292" s="143"/>
      <c r="M292" s="143"/>
      <c r="N292" s="143"/>
      <c r="O292" s="143"/>
      <c r="P292" s="143"/>
      <c r="Q292" s="143"/>
      <c r="R292" s="145"/>
      <c r="T292" s="146"/>
      <c r="U292" s="143"/>
      <c r="V292" s="143"/>
      <c r="W292" s="143"/>
      <c r="X292" s="143"/>
      <c r="Y292" s="143"/>
      <c r="Z292" s="143"/>
      <c r="AA292" s="147"/>
      <c r="AT292" s="148" t="s">
        <v>169</v>
      </c>
      <c r="AU292" s="148" t="s">
        <v>106</v>
      </c>
      <c r="AV292" s="148" t="s">
        <v>106</v>
      </c>
      <c r="AW292" s="148" t="s">
        <v>114</v>
      </c>
      <c r="AX292" s="148" t="s">
        <v>76</v>
      </c>
      <c r="AY292" s="148" t="s">
        <v>161</v>
      </c>
    </row>
    <row r="293" spans="2:51" s="7" customFormat="1" ht="15.75" customHeight="1">
      <c r="B293" s="142"/>
      <c r="C293" s="143"/>
      <c r="D293" s="143"/>
      <c r="E293" s="143"/>
      <c r="F293" s="215" t="s">
        <v>390</v>
      </c>
      <c r="G293" s="216"/>
      <c r="H293" s="216"/>
      <c r="I293" s="216"/>
      <c r="J293" s="143"/>
      <c r="K293" s="144">
        <v>14.748</v>
      </c>
      <c r="L293" s="143"/>
      <c r="M293" s="143"/>
      <c r="N293" s="143"/>
      <c r="O293" s="143"/>
      <c r="P293" s="143"/>
      <c r="Q293" s="143"/>
      <c r="R293" s="145"/>
      <c r="T293" s="146"/>
      <c r="U293" s="143"/>
      <c r="V293" s="143"/>
      <c r="W293" s="143"/>
      <c r="X293" s="143"/>
      <c r="Y293" s="143"/>
      <c r="Z293" s="143"/>
      <c r="AA293" s="147"/>
      <c r="AT293" s="148" t="s">
        <v>169</v>
      </c>
      <c r="AU293" s="148" t="s">
        <v>106</v>
      </c>
      <c r="AV293" s="148" t="s">
        <v>106</v>
      </c>
      <c r="AW293" s="148" t="s">
        <v>114</v>
      </c>
      <c r="AX293" s="148" t="s">
        <v>76</v>
      </c>
      <c r="AY293" s="148" t="s">
        <v>161</v>
      </c>
    </row>
    <row r="294" spans="2:51" s="7" customFormat="1" ht="15.75" customHeight="1">
      <c r="B294" s="149"/>
      <c r="C294" s="150"/>
      <c r="D294" s="150"/>
      <c r="E294" s="150"/>
      <c r="F294" s="223" t="s">
        <v>178</v>
      </c>
      <c r="G294" s="224"/>
      <c r="H294" s="224"/>
      <c r="I294" s="224"/>
      <c r="J294" s="150"/>
      <c r="K294" s="151">
        <v>29.49</v>
      </c>
      <c r="L294" s="150"/>
      <c r="M294" s="150"/>
      <c r="N294" s="150"/>
      <c r="O294" s="150"/>
      <c r="P294" s="150"/>
      <c r="Q294" s="150"/>
      <c r="R294" s="152"/>
      <c r="T294" s="153"/>
      <c r="U294" s="150"/>
      <c r="V294" s="150"/>
      <c r="W294" s="150"/>
      <c r="X294" s="150"/>
      <c r="Y294" s="150"/>
      <c r="Z294" s="150"/>
      <c r="AA294" s="154"/>
      <c r="AT294" s="155" t="s">
        <v>169</v>
      </c>
      <c r="AU294" s="155" t="s">
        <v>106</v>
      </c>
      <c r="AV294" s="155" t="s">
        <v>167</v>
      </c>
      <c r="AW294" s="155" t="s">
        <v>114</v>
      </c>
      <c r="AX294" s="155" t="s">
        <v>16</v>
      </c>
      <c r="AY294" s="155" t="s">
        <v>161</v>
      </c>
    </row>
    <row r="295" spans="2:64" s="7" customFormat="1" ht="15.75" customHeight="1">
      <c r="B295" s="23"/>
      <c r="C295" s="135" t="s">
        <v>391</v>
      </c>
      <c r="D295" s="135" t="s">
        <v>163</v>
      </c>
      <c r="E295" s="136" t="s">
        <v>392</v>
      </c>
      <c r="F295" s="217" t="s">
        <v>393</v>
      </c>
      <c r="G295" s="213"/>
      <c r="H295" s="213"/>
      <c r="I295" s="213"/>
      <c r="J295" s="137" t="s">
        <v>192</v>
      </c>
      <c r="K295" s="138">
        <v>0.708</v>
      </c>
      <c r="L295" s="212">
        <v>0</v>
      </c>
      <c r="M295" s="213"/>
      <c r="N295" s="214">
        <f>ROUND($L$295*$K$295,2)</f>
        <v>0</v>
      </c>
      <c r="O295" s="213"/>
      <c r="P295" s="213"/>
      <c r="Q295" s="213"/>
      <c r="R295" s="25"/>
      <c r="T295" s="139"/>
      <c r="U295" s="31" t="s">
        <v>41</v>
      </c>
      <c r="V295" s="140">
        <v>15.231</v>
      </c>
      <c r="W295" s="140">
        <f>$V$295*$K$295</f>
        <v>10.783548</v>
      </c>
      <c r="X295" s="140">
        <v>1.05306</v>
      </c>
      <c r="Y295" s="140">
        <f>$X$295*$K$295</f>
        <v>0.74556648</v>
      </c>
      <c r="Z295" s="140">
        <v>0</v>
      </c>
      <c r="AA295" s="141">
        <f>$Z$295*$K$295</f>
        <v>0</v>
      </c>
      <c r="AR295" s="7" t="s">
        <v>167</v>
      </c>
      <c r="AT295" s="7" t="s">
        <v>163</v>
      </c>
      <c r="AU295" s="7" t="s">
        <v>106</v>
      </c>
      <c r="AY295" s="7" t="s">
        <v>161</v>
      </c>
      <c r="BE295" s="89">
        <f>IF($U$295="základní",$N$295,0)</f>
        <v>0</v>
      </c>
      <c r="BF295" s="89">
        <f>IF($U$295="snížená",$N$295,0)</f>
        <v>0</v>
      </c>
      <c r="BG295" s="89">
        <f>IF($U$295="zákl. přenesená",$N$295,0)</f>
        <v>0</v>
      </c>
      <c r="BH295" s="89">
        <f>IF($U$295="sníž. přenesená",$N$295,0)</f>
        <v>0</v>
      </c>
      <c r="BI295" s="89">
        <f>IF($U$295="nulová",$N$295,0)</f>
        <v>0</v>
      </c>
      <c r="BJ295" s="7" t="s">
        <v>16</v>
      </c>
      <c r="BK295" s="89">
        <f>ROUND($L$295*$K$295,2)</f>
        <v>0</v>
      </c>
      <c r="BL295" s="7" t="s">
        <v>167</v>
      </c>
    </row>
    <row r="296" spans="2:51" s="7" customFormat="1" ht="27" customHeight="1">
      <c r="B296" s="142"/>
      <c r="C296" s="143"/>
      <c r="D296" s="143"/>
      <c r="E296" s="143"/>
      <c r="F296" s="215" t="s">
        <v>394</v>
      </c>
      <c r="G296" s="216"/>
      <c r="H296" s="216"/>
      <c r="I296" s="216"/>
      <c r="J296" s="143"/>
      <c r="K296" s="144">
        <v>0.263</v>
      </c>
      <c r="L296" s="143"/>
      <c r="M296" s="143"/>
      <c r="N296" s="143"/>
      <c r="O296" s="143"/>
      <c r="P296" s="143"/>
      <c r="Q296" s="143"/>
      <c r="R296" s="145"/>
      <c r="T296" s="146"/>
      <c r="U296" s="143"/>
      <c r="V296" s="143"/>
      <c r="W296" s="143"/>
      <c r="X296" s="143"/>
      <c r="Y296" s="143"/>
      <c r="Z296" s="143"/>
      <c r="AA296" s="147"/>
      <c r="AT296" s="148" t="s">
        <v>169</v>
      </c>
      <c r="AU296" s="148" t="s">
        <v>106</v>
      </c>
      <c r="AV296" s="148" t="s">
        <v>106</v>
      </c>
      <c r="AW296" s="148" t="s">
        <v>114</v>
      </c>
      <c r="AX296" s="148" t="s">
        <v>76</v>
      </c>
      <c r="AY296" s="148" t="s">
        <v>161</v>
      </c>
    </row>
    <row r="297" spans="2:51" s="7" customFormat="1" ht="15.75" customHeight="1">
      <c r="B297" s="142"/>
      <c r="C297" s="143"/>
      <c r="D297" s="143"/>
      <c r="E297" s="143"/>
      <c r="F297" s="215" t="s">
        <v>395</v>
      </c>
      <c r="G297" s="216"/>
      <c r="H297" s="216"/>
      <c r="I297" s="216"/>
      <c r="J297" s="143"/>
      <c r="K297" s="144">
        <v>0.445</v>
      </c>
      <c r="L297" s="143"/>
      <c r="M297" s="143"/>
      <c r="N297" s="143"/>
      <c r="O297" s="143"/>
      <c r="P297" s="143"/>
      <c r="Q297" s="143"/>
      <c r="R297" s="145"/>
      <c r="T297" s="146"/>
      <c r="U297" s="143"/>
      <c r="V297" s="143"/>
      <c r="W297" s="143"/>
      <c r="X297" s="143"/>
      <c r="Y297" s="143"/>
      <c r="Z297" s="143"/>
      <c r="AA297" s="147"/>
      <c r="AT297" s="148" t="s">
        <v>169</v>
      </c>
      <c r="AU297" s="148" t="s">
        <v>106</v>
      </c>
      <c r="AV297" s="148" t="s">
        <v>106</v>
      </c>
      <c r="AW297" s="148" t="s">
        <v>114</v>
      </c>
      <c r="AX297" s="148" t="s">
        <v>76</v>
      </c>
      <c r="AY297" s="148" t="s">
        <v>161</v>
      </c>
    </row>
    <row r="298" spans="2:51" s="7" customFormat="1" ht="15.75" customHeight="1">
      <c r="B298" s="149"/>
      <c r="C298" s="150"/>
      <c r="D298" s="150"/>
      <c r="E298" s="150"/>
      <c r="F298" s="223" t="s">
        <v>178</v>
      </c>
      <c r="G298" s="224"/>
      <c r="H298" s="224"/>
      <c r="I298" s="224"/>
      <c r="J298" s="150"/>
      <c r="K298" s="151">
        <v>0.708</v>
      </c>
      <c r="L298" s="150"/>
      <c r="M298" s="150"/>
      <c r="N298" s="150"/>
      <c r="O298" s="150"/>
      <c r="P298" s="150"/>
      <c r="Q298" s="150"/>
      <c r="R298" s="152"/>
      <c r="T298" s="153"/>
      <c r="U298" s="150"/>
      <c r="V298" s="150"/>
      <c r="W298" s="150"/>
      <c r="X298" s="150"/>
      <c r="Y298" s="150"/>
      <c r="Z298" s="150"/>
      <c r="AA298" s="154"/>
      <c r="AT298" s="155" t="s">
        <v>169</v>
      </c>
      <c r="AU298" s="155" t="s">
        <v>106</v>
      </c>
      <c r="AV298" s="155" t="s">
        <v>167</v>
      </c>
      <c r="AW298" s="155" t="s">
        <v>114</v>
      </c>
      <c r="AX298" s="155" t="s">
        <v>16</v>
      </c>
      <c r="AY298" s="155" t="s">
        <v>161</v>
      </c>
    </row>
    <row r="299" spans="2:64" s="7" customFormat="1" ht="27" customHeight="1">
      <c r="B299" s="23"/>
      <c r="C299" s="135" t="s">
        <v>396</v>
      </c>
      <c r="D299" s="135" t="s">
        <v>163</v>
      </c>
      <c r="E299" s="136" t="s">
        <v>397</v>
      </c>
      <c r="F299" s="217" t="s">
        <v>398</v>
      </c>
      <c r="G299" s="213"/>
      <c r="H299" s="213"/>
      <c r="I299" s="213"/>
      <c r="J299" s="137" t="s">
        <v>214</v>
      </c>
      <c r="K299" s="138">
        <v>5.664</v>
      </c>
      <c r="L299" s="212">
        <v>0</v>
      </c>
      <c r="M299" s="213"/>
      <c r="N299" s="214">
        <f>ROUND($L$299*$K$299,2)</f>
        <v>0</v>
      </c>
      <c r="O299" s="213"/>
      <c r="P299" s="213"/>
      <c r="Q299" s="213"/>
      <c r="R299" s="25"/>
      <c r="T299" s="139"/>
      <c r="U299" s="31" t="s">
        <v>41</v>
      </c>
      <c r="V299" s="140">
        <v>0.373</v>
      </c>
      <c r="W299" s="140">
        <f>$V$299*$K$299</f>
        <v>2.112672</v>
      </c>
      <c r="X299" s="140">
        <v>0.07426</v>
      </c>
      <c r="Y299" s="140">
        <f>$X$299*$K$299</f>
        <v>0.42060864000000003</v>
      </c>
      <c r="Z299" s="140">
        <v>0</v>
      </c>
      <c r="AA299" s="141">
        <f>$Z$299*$K$299</f>
        <v>0</v>
      </c>
      <c r="AR299" s="7" t="s">
        <v>167</v>
      </c>
      <c r="AT299" s="7" t="s">
        <v>163</v>
      </c>
      <c r="AU299" s="7" t="s">
        <v>106</v>
      </c>
      <c r="AY299" s="7" t="s">
        <v>161</v>
      </c>
      <c r="BE299" s="89">
        <f>IF($U$299="základní",$N$299,0)</f>
        <v>0</v>
      </c>
      <c r="BF299" s="89">
        <f>IF($U$299="snížená",$N$299,0)</f>
        <v>0</v>
      </c>
      <c r="BG299" s="89">
        <f>IF($U$299="zákl. přenesená",$N$299,0)</f>
        <v>0</v>
      </c>
      <c r="BH299" s="89">
        <f>IF($U$299="sníž. přenesená",$N$299,0)</f>
        <v>0</v>
      </c>
      <c r="BI299" s="89">
        <f>IF($U$299="nulová",$N$299,0)</f>
        <v>0</v>
      </c>
      <c r="BJ299" s="7" t="s">
        <v>16</v>
      </c>
      <c r="BK299" s="89">
        <f>ROUND($L$299*$K$299,2)</f>
        <v>0</v>
      </c>
      <c r="BL299" s="7" t="s">
        <v>167</v>
      </c>
    </row>
    <row r="300" spans="2:51" s="7" customFormat="1" ht="15.75" customHeight="1">
      <c r="B300" s="142"/>
      <c r="C300" s="143"/>
      <c r="D300" s="143"/>
      <c r="E300" s="143"/>
      <c r="F300" s="215" t="s">
        <v>399</v>
      </c>
      <c r="G300" s="216"/>
      <c r="H300" s="216"/>
      <c r="I300" s="216"/>
      <c r="J300" s="143"/>
      <c r="K300" s="144">
        <v>4.5</v>
      </c>
      <c r="L300" s="143"/>
      <c r="M300" s="143"/>
      <c r="N300" s="143"/>
      <c r="O300" s="143"/>
      <c r="P300" s="143"/>
      <c r="Q300" s="143"/>
      <c r="R300" s="145"/>
      <c r="T300" s="146"/>
      <c r="U300" s="143"/>
      <c r="V300" s="143"/>
      <c r="W300" s="143"/>
      <c r="X300" s="143"/>
      <c r="Y300" s="143"/>
      <c r="Z300" s="143"/>
      <c r="AA300" s="147"/>
      <c r="AT300" s="148" t="s">
        <v>169</v>
      </c>
      <c r="AU300" s="148" t="s">
        <v>106</v>
      </c>
      <c r="AV300" s="148" t="s">
        <v>106</v>
      </c>
      <c r="AW300" s="148" t="s">
        <v>114</v>
      </c>
      <c r="AX300" s="148" t="s">
        <v>76</v>
      </c>
      <c r="AY300" s="148" t="s">
        <v>161</v>
      </c>
    </row>
    <row r="301" spans="2:51" s="7" customFormat="1" ht="15.75" customHeight="1">
      <c r="B301" s="142"/>
      <c r="C301" s="143"/>
      <c r="D301" s="143"/>
      <c r="E301" s="143"/>
      <c r="F301" s="215" t="s">
        <v>400</v>
      </c>
      <c r="G301" s="216"/>
      <c r="H301" s="216"/>
      <c r="I301" s="216"/>
      <c r="J301" s="143"/>
      <c r="K301" s="144">
        <v>1.164</v>
      </c>
      <c r="L301" s="143"/>
      <c r="M301" s="143"/>
      <c r="N301" s="143"/>
      <c r="O301" s="143"/>
      <c r="P301" s="143"/>
      <c r="Q301" s="143"/>
      <c r="R301" s="145"/>
      <c r="T301" s="146"/>
      <c r="U301" s="143"/>
      <c r="V301" s="143"/>
      <c r="W301" s="143"/>
      <c r="X301" s="143"/>
      <c r="Y301" s="143"/>
      <c r="Z301" s="143"/>
      <c r="AA301" s="147"/>
      <c r="AT301" s="148" t="s">
        <v>169</v>
      </c>
      <c r="AU301" s="148" t="s">
        <v>106</v>
      </c>
      <c r="AV301" s="148" t="s">
        <v>106</v>
      </c>
      <c r="AW301" s="148" t="s">
        <v>114</v>
      </c>
      <c r="AX301" s="148" t="s">
        <v>76</v>
      </c>
      <c r="AY301" s="148" t="s">
        <v>161</v>
      </c>
    </row>
    <row r="302" spans="2:51" s="7" customFormat="1" ht="15.75" customHeight="1">
      <c r="B302" s="149"/>
      <c r="C302" s="150"/>
      <c r="D302" s="150"/>
      <c r="E302" s="150"/>
      <c r="F302" s="223" t="s">
        <v>178</v>
      </c>
      <c r="G302" s="224"/>
      <c r="H302" s="224"/>
      <c r="I302" s="224"/>
      <c r="J302" s="150"/>
      <c r="K302" s="151">
        <v>5.664</v>
      </c>
      <c r="L302" s="150"/>
      <c r="M302" s="150"/>
      <c r="N302" s="150"/>
      <c r="O302" s="150"/>
      <c r="P302" s="150"/>
      <c r="Q302" s="150"/>
      <c r="R302" s="152"/>
      <c r="T302" s="153"/>
      <c r="U302" s="150"/>
      <c r="V302" s="150"/>
      <c r="W302" s="150"/>
      <c r="X302" s="150"/>
      <c r="Y302" s="150"/>
      <c r="Z302" s="150"/>
      <c r="AA302" s="154"/>
      <c r="AT302" s="155" t="s">
        <v>169</v>
      </c>
      <c r="AU302" s="155" t="s">
        <v>106</v>
      </c>
      <c r="AV302" s="155" t="s">
        <v>167</v>
      </c>
      <c r="AW302" s="155" t="s">
        <v>114</v>
      </c>
      <c r="AX302" s="155" t="s">
        <v>16</v>
      </c>
      <c r="AY302" s="155" t="s">
        <v>161</v>
      </c>
    </row>
    <row r="303" spans="2:64" s="7" customFormat="1" ht="15.75" customHeight="1">
      <c r="B303" s="23"/>
      <c r="C303" s="135" t="s">
        <v>401</v>
      </c>
      <c r="D303" s="135" t="s">
        <v>163</v>
      </c>
      <c r="E303" s="136" t="s">
        <v>402</v>
      </c>
      <c r="F303" s="217" t="s">
        <v>403</v>
      </c>
      <c r="G303" s="213"/>
      <c r="H303" s="213"/>
      <c r="I303" s="213"/>
      <c r="J303" s="137" t="s">
        <v>214</v>
      </c>
      <c r="K303" s="138">
        <v>122.9</v>
      </c>
      <c r="L303" s="212">
        <v>0</v>
      </c>
      <c r="M303" s="213"/>
      <c r="N303" s="214">
        <f>ROUND($L$303*$K$303,2)</f>
        <v>0</v>
      </c>
      <c r="O303" s="213"/>
      <c r="P303" s="213"/>
      <c r="Q303" s="213"/>
      <c r="R303" s="25"/>
      <c r="T303" s="139"/>
      <c r="U303" s="31" t="s">
        <v>41</v>
      </c>
      <c r="V303" s="140">
        <v>0.025</v>
      </c>
      <c r="W303" s="140">
        <f>$V$303*$K$303</f>
        <v>3.0725000000000002</v>
      </c>
      <c r="X303" s="140">
        <v>0.00012</v>
      </c>
      <c r="Y303" s="140">
        <f>$X$303*$K$303</f>
        <v>0.014748</v>
      </c>
      <c r="Z303" s="140">
        <v>0</v>
      </c>
      <c r="AA303" s="141">
        <f>$Z$303*$K$303</f>
        <v>0</v>
      </c>
      <c r="AR303" s="7" t="s">
        <v>167</v>
      </c>
      <c r="AT303" s="7" t="s">
        <v>163</v>
      </c>
      <c r="AU303" s="7" t="s">
        <v>106</v>
      </c>
      <c r="AY303" s="7" t="s">
        <v>161</v>
      </c>
      <c r="BE303" s="89">
        <f>IF($U$303="základní",$N$303,0)</f>
        <v>0</v>
      </c>
      <c r="BF303" s="89">
        <f>IF($U$303="snížená",$N$303,0)</f>
        <v>0</v>
      </c>
      <c r="BG303" s="89">
        <f>IF($U$303="zákl. přenesená",$N$303,0)</f>
        <v>0</v>
      </c>
      <c r="BH303" s="89">
        <f>IF($U$303="sníž. přenesená",$N$303,0)</f>
        <v>0</v>
      </c>
      <c r="BI303" s="89">
        <f>IF($U$303="nulová",$N$303,0)</f>
        <v>0</v>
      </c>
      <c r="BJ303" s="7" t="s">
        <v>16</v>
      </c>
      <c r="BK303" s="89">
        <f>ROUND($L$303*$K$303,2)</f>
        <v>0</v>
      </c>
      <c r="BL303" s="7" t="s">
        <v>167</v>
      </c>
    </row>
    <row r="304" spans="2:51" s="7" customFormat="1" ht="15.75" customHeight="1">
      <c r="B304" s="142"/>
      <c r="C304" s="143"/>
      <c r="D304" s="143"/>
      <c r="E304" s="143"/>
      <c r="F304" s="215" t="s">
        <v>404</v>
      </c>
      <c r="G304" s="216"/>
      <c r="H304" s="216"/>
      <c r="I304" s="216"/>
      <c r="J304" s="143"/>
      <c r="K304" s="144">
        <v>122.9</v>
      </c>
      <c r="L304" s="143"/>
      <c r="M304" s="143"/>
      <c r="N304" s="143"/>
      <c r="O304" s="143"/>
      <c r="P304" s="143"/>
      <c r="Q304" s="143"/>
      <c r="R304" s="145"/>
      <c r="T304" s="146"/>
      <c r="U304" s="143"/>
      <c r="V304" s="143"/>
      <c r="W304" s="143"/>
      <c r="X304" s="143"/>
      <c r="Y304" s="143"/>
      <c r="Z304" s="143"/>
      <c r="AA304" s="147"/>
      <c r="AT304" s="148" t="s">
        <v>169</v>
      </c>
      <c r="AU304" s="148" t="s">
        <v>106</v>
      </c>
      <c r="AV304" s="148" t="s">
        <v>106</v>
      </c>
      <c r="AW304" s="148" t="s">
        <v>114</v>
      </c>
      <c r="AX304" s="148" t="s">
        <v>16</v>
      </c>
      <c r="AY304" s="148" t="s">
        <v>161</v>
      </c>
    </row>
    <row r="305" spans="2:64" s="7" customFormat="1" ht="27" customHeight="1">
      <c r="B305" s="23"/>
      <c r="C305" s="135" t="s">
        <v>405</v>
      </c>
      <c r="D305" s="135" t="s">
        <v>163</v>
      </c>
      <c r="E305" s="136" t="s">
        <v>406</v>
      </c>
      <c r="F305" s="217" t="s">
        <v>407</v>
      </c>
      <c r="G305" s="213"/>
      <c r="H305" s="213"/>
      <c r="I305" s="213"/>
      <c r="J305" s="137" t="s">
        <v>214</v>
      </c>
      <c r="K305" s="138">
        <v>122.8</v>
      </c>
      <c r="L305" s="212">
        <v>0</v>
      </c>
      <c r="M305" s="213"/>
      <c r="N305" s="214">
        <f>ROUND($L$305*$K$305,2)</f>
        <v>0</v>
      </c>
      <c r="O305" s="213"/>
      <c r="P305" s="213"/>
      <c r="Q305" s="213"/>
      <c r="R305" s="25"/>
      <c r="T305" s="139"/>
      <c r="U305" s="31" t="s">
        <v>41</v>
      </c>
      <c r="V305" s="140">
        <v>0.025</v>
      </c>
      <c r="W305" s="140">
        <f>$V$305*$K$305</f>
        <v>3.0700000000000003</v>
      </c>
      <c r="X305" s="140">
        <v>0.00022</v>
      </c>
      <c r="Y305" s="140">
        <f>$X$305*$K$305</f>
        <v>0.027016000000000002</v>
      </c>
      <c r="Z305" s="140">
        <v>0</v>
      </c>
      <c r="AA305" s="141">
        <f>$Z$305*$K$305</f>
        <v>0</v>
      </c>
      <c r="AR305" s="7" t="s">
        <v>167</v>
      </c>
      <c r="AT305" s="7" t="s">
        <v>163</v>
      </c>
      <c r="AU305" s="7" t="s">
        <v>106</v>
      </c>
      <c r="AY305" s="7" t="s">
        <v>161</v>
      </c>
      <c r="BE305" s="89">
        <f>IF($U$305="základní",$N$305,0)</f>
        <v>0</v>
      </c>
      <c r="BF305" s="89">
        <f>IF($U$305="snížená",$N$305,0)</f>
        <v>0</v>
      </c>
      <c r="BG305" s="89">
        <f>IF($U$305="zákl. přenesená",$N$305,0)</f>
        <v>0</v>
      </c>
      <c r="BH305" s="89">
        <f>IF($U$305="sníž. přenesená",$N$305,0)</f>
        <v>0</v>
      </c>
      <c r="BI305" s="89">
        <f>IF($U$305="nulová",$N$305,0)</f>
        <v>0</v>
      </c>
      <c r="BJ305" s="7" t="s">
        <v>16</v>
      </c>
      <c r="BK305" s="89">
        <f>ROUND($L$305*$K$305,2)</f>
        <v>0</v>
      </c>
      <c r="BL305" s="7" t="s">
        <v>167</v>
      </c>
    </row>
    <row r="306" spans="2:51" s="7" customFormat="1" ht="15.75" customHeight="1">
      <c r="B306" s="142"/>
      <c r="C306" s="143"/>
      <c r="D306" s="143"/>
      <c r="E306" s="143"/>
      <c r="F306" s="215" t="s">
        <v>408</v>
      </c>
      <c r="G306" s="216"/>
      <c r="H306" s="216"/>
      <c r="I306" s="216"/>
      <c r="J306" s="143"/>
      <c r="K306" s="144">
        <v>122.8</v>
      </c>
      <c r="L306" s="143"/>
      <c r="M306" s="143"/>
      <c r="N306" s="143"/>
      <c r="O306" s="143"/>
      <c r="P306" s="143"/>
      <c r="Q306" s="143"/>
      <c r="R306" s="145"/>
      <c r="T306" s="146"/>
      <c r="U306" s="143"/>
      <c r="V306" s="143"/>
      <c r="W306" s="143"/>
      <c r="X306" s="143"/>
      <c r="Y306" s="143"/>
      <c r="Z306" s="143"/>
      <c r="AA306" s="147"/>
      <c r="AT306" s="148" t="s">
        <v>169</v>
      </c>
      <c r="AU306" s="148" t="s">
        <v>106</v>
      </c>
      <c r="AV306" s="148" t="s">
        <v>106</v>
      </c>
      <c r="AW306" s="148" t="s">
        <v>114</v>
      </c>
      <c r="AX306" s="148" t="s">
        <v>16</v>
      </c>
      <c r="AY306" s="148" t="s">
        <v>161</v>
      </c>
    </row>
    <row r="307" spans="2:64" s="7" customFormat="1" ht="27" customHeight="1">
      <c r="B307" s="23"/>
      <c r="C307" s="135" t="s">
        <v>409</v>
      </c>
      <c r="D307" s="135" t="s">
        <v>163</v>
      </c>
      <c r="E307" s="136" t="s">
        <v>410</v>
      </c>
      <c r="F307" s="217" t="s">
        <v>411</v>
      </c>
      <c r="G307" s="213"/>
      <c r="H307" s="213"/>
      <c r="I307" s="213"/>
      <c r="J307" s="137" t="s">
        <v>268</v>
      </c>
      <c r="K307" s="138">
        <v>54.32</v>
      </c>
      <c r="L307" s="212">
        <v>0</v>
      </c>
      <c r="M307" s="213"/>
      <c r="N307" s="214">
        <f>ROUND($L$307*$K$307,2)</f>
        <v>0</v>
      </c>
      <c r="O307" s="213"/>
      <c r="P307" s="213"/>
      <c r="Q307" s="213"/>
      <c r="R307" s="25"/>
      <c r="T307" s="139"/>
      <c r="U307" s="31" t="s">
        <v>41</v>
      </c>
      <c r="V307" s="140">
        <v>0.04</v>
      </c>
      <c r="W307" s="140">
        <f>$V$307*$K$307</f>
        <v>2.1728</v>
      </c>
      <c r="X307" s="140">
        <v>9E-05</v>
      </c>
      <c r="Y307" s="140">
        <f>$X$307*$K$307</f>
        <v>0.0048888000000000004</v>
      </c>
      <c r="Z307" s="140">
        <v>0</v>
      </c>
      <c r="AA307" s="141">
        <f>$Z$307*$K$307</f>
        <v>0</v>
      </c>
      <c r="AR307" s="7" t="s">
        <v>167</v>
      </c>
      <c r="AT307" s="7" t="s">
        <v>163</v>
      </c>
      <c r="AU307" s="7" t="s">
        <v>106</v>
      </c>
      <c r="AY307" s="7" t="s">
        <v>161</v>
      </c>
      <c r="BE307" s="89">
        <f>IF($U$307="základní",$N$307,0)</f>
        <v>0</v>
      </c>
      <c r="BF307" s="89">
        <f>IF($U$307="snížená",$N$307,0)</f>
        <v>0</v>
      </c>
      <c r="BG307" s="89">
        <f>IF($U$307="zákl. přenesená",$N$307,0)</f>
        <v>0</v>
      </c>
      <c r="BH307" s="89">
        <f>IF($U$307="sníž. přenesená",$N$307,0)</f>
        <v>0</v>
      </c>
      <c r="BI307" s="89">
        <f>IF($U$307="nulová",$N$307,0)</f>
        <v>0</v>
      </c>
      <c r="BJ307" s="7" t="s">
        <v>16</v>
      </c>
      <c r="BK307" s="89">
        <f>ROUND($L$307*$K$307,2)</f>
        <v>0</v>
      </c>
      <c r="BL307" s="7" t="s">
        <v>167</v>
      </c>
    </row>
    <row r="308" spans="2:51" s="7" customFormat="1" ht="15.75" customHeight="1">
      <c r="B308" s="142"/>
      <c r="C308" s="143"/>
      <c r="D308" s="143"/>
      <c r="E308" s="143"/>
      <c r="F308" s="215" t="s">
        <v>412</v>
      </c>
      <c r="G308" s="216"/>
      <c r="H308" s="216"/>
      <c r="I308" s="216"/>
      <c r="J308" s="143"/>
      <c r="K308" s="144">
        <v>37.32</v>
      </c>
      <c r="L308" s="143"/>
      <c r="M308" s="143"/>
      <c r="N308" s="143"/>
      <c r="O308" s="143"/>
      <c r="P308" s="143"/>
      <c r="Q308" s="143"/>
      <c r="R308" s="145"/>
      <c r="T308" s="146"/>
      <c r="U308" s="143"/>
      <c r="V308" s="143"/>
      <c r="W308" s="143"/>
      <c r="X308" s="143"/>
      <c r="Y308" s="143"/>
      <c r="Z308" s="143"/>
      <c r="AA308" s="147"/>
      <c r="AT308" s="148" t="s">
        <v>169</v>
      </c>
      <c r="AU308" s="148" t="s">
        <v>106</v>
      </c>
      <c r="AV308" s="148" t="s">
        <v>106</v>
      </c>
      <c r="AW308" s="148" t="s">
        <v>114</v>
      </c>
      <c r="AX308" s="148" t="s">
        <v>76</v>
      </c>
      <c r="AY308" s="148" t="s">
        <v>161</v>
      </c>
    </row>
    <row r="309" spans="2:51" s="7" customFormat="1" ht="15.75" customHeight="1">
      <c r="B309" s="142"/>
      <c r="C309" s="143"/>
      <c r="D309" s="143"/>
      <c r="E309" s="143"/>
      <c r="F309" s="215" t="s">
        <v>413</v>
      </c>
      <c r="G309" s="216"/>
      <c r="H309" s="216"/>
      <c r="I309" s="216"/>
      <c r="J309" s="143"/>
      <c r="K309" s="144">
        <v>27.95</v>
      </c>
      <c r="L309" s="143"/>
      <c r="M309" s="143"/>
      <c r="N309" s="143"/>
      <c r="O309" s="143"/>
      <c r="P309" s="143"/>
      <c r="Q309" s="143"/>
      <c r="R309" s="145"/>
      <c r="T309" s="146"/>
      <c r="U309" s="143"/>
      <c r="V309" s="143"/>
      <c r="W309" s="143"/>
      <c r="X309" s="143"/>
      <c r="Y309" s="143"/>
      <c r="Z309" s="143"/>
      <c r="AA309" s="147"/>
      <c r="AT309" s="148" t="s">
        <v>169</v>
      </c>
      <c r="AU309" s="148" t="s">
        <v>106</v>
      </c>
      <c r="AV309" s="148" t="s">
        <v>106</v>
      </c>
      <c r="AW309" s="148" t="s">
        <v>114</v>
      </c>
      <c r="AX309" s="148" t="s">
        <v>76</v>
      </c>
      <c r="AY309" s="148" t="s">
        <v>161</v>
      </c>
    </row>
    <row r="310" spans="2:51" s="7" customFormat="1" ht="15.75" customHeight="1">
      <c r="B310" s="142"/>
      <c r="C310" s="143"/>
      <c r="D310" s="143"/>
      <c r="E310" s="143"/>
      <c r="F310" s="215" t="s">
        <v>414</v>
      </c>
      <c r="G310" s="216"/>
      <c r="H310" s="216"/>
      <c r="I310" s="216"/>
      <c r="J310" s="143"/>
      <c r="K310" s="144">
        <v>-10.95</v>
      </c>
      <c r="L310" s="143"/>
      <c r="M310" s="143"/>
      <c r="N310" s="143"/>
      <c r="O310" s="143"/>
      <c r="P310" s="143"/>
      <c r="Q310" s="143"/>
      <c r="R310" s="145"/>
      <c r="T310" s="146"/>
      <c r="U310" s="143"/>
      <c r="V310" s="143"/>
      <c r="W310" s="143"/>
      <c r="X310" s="143"/>
      <c r="Y310" s="143"/>
      <c r="Z310" s="143"/>
      <c r="AA310" s="147"/>
      <c r="AT310" s="148" t="s">
        <v>169</v>
      </c>
      <c r="AU310" s="148" t="s">
        <v>106</v>
      </c>
      <c r="AV310" s="148" t="s">
        <v>106</v>
      </c>
      <c r="AW310" s="148" t="s">
        <v>114</v>
      </c>
      <c r="AX310" s="148" t="s">
        <v>76</v>
      </c>
      <c r="AY310" s="148" t="s">
        <v>161</v>
      </c>
    </row>
    <row r="311" spans="2:51" s="7" customFormat="1" ht="15.75" customHeight="1">
      <c r="B311" s="149"/>
      <c r="C311" s="150"/>
      <c r="D311" s="150"/>
      <c r="E311" s="150"/>
      <c r="F311" s="223" t="s">
        <v>178</v>
      </c>
      <c r="G311" s="224"/>
      <c r="H311" s="224"/>
      <c r="I311" s="224"/>
      <c r="J311" s="150"/>
      <c r="K311" s="151">
        <v>54.32</v>
      </c>
      <c r="L311" s="150"/>
      <c r="M311" s="150"/>
      <c r="N311" s="150"/>
      <c r="O311" s="150"/>
      <c r="P311" s="150"/>
      <c r="Q311" s="150"/>
      <c r="R311" s="152"/>
      <c r="T311" s="153"/>
      <c r="U311" s="150"/>
      <c r="V311" s="150"/>
      <c r="W311" s="150"/>
      <c r="X311" s="150"/>
      <c r="Y311" s="150"/>
      <c r="Z311" s="150"/>
      <c r="AA311" s="154"/>
      <c r="AT311" s="155" t="s">
        <v>169</v>
      </c>
      <c r="AU311" s="155" t="s">
        <v>106</v>
      </c>
      <c r="AV311" s="155" t="s">
        <v>167</v>
      </c>
      <c r="AW311" s="155" t="s">
        <v>114</v>
      </c>
      <c r="AX311" s="155" t="s">
        <v>16</v>
      </c>
      <c r="AY311" s="155" t="s">
        <v>161</v>
      </c>
    </row>
    <row r="312" spans="2:64" s="7" customFormat="1" ht="27" customHeight="1">
      <c r="B312" s="23"/>
      <c r="C312" s="135" t="s">
        <v>415</v>
      </c>
      <c r="D312" s="135" t="s">
        <v>163</v>
      </c>
      <c r="E312" s="136" t="s">
        <v>416</v>
      </c>
      <c r="F312" s="217" t="s">
        <v>417</v>
      </c>
      <c r="G312" s="213"/>
      <c r="H312" s="213"/>
      <c r="I312" s="213"/>
      <c r="J312" s="137" t="s">
        <v>268</v>
      </c>
      <c r="K312" s="138">
        <v>22.635</v>
      </c>
      <c r="L312" s="212">
        <v>0</v>
      </c>
      <c r="M312" s="213"/>
      <c r="N312" s="214">
        <f>ROUND($L$312*$K$312,2)</f>
        <v>0</v>
      </c>
      <c r="O312" s="213"/>
      <c r="P312" s="213"/>
      <c r="Q312" s="213"/>
      <c r="R312" s="25"/>
      <c r="T312" s="139"/>
      <c r="U312" s="31" t="s">
        <v>41</v>
      </c>
      <c r="V312" s="140">
        <v>0.09</v>
      </c>
      <c r="W312" s="140">
        <f>$V$312*$K$312</f>
        <v>2.03715</v>
      </c>
      <c r="X312" s="140">
        <v>8E-05</v>
      </c>
      <c r="Y312" s="140">
        <f>$X$312*$K$312</f>
        <v>0.0018108000000000002</v>
      </c>
      <c r="Z312" s="140">
        <v>0</v>
      </c>
      <c r="AA312" s="141">
        <f>$Z$312*$K$312</f>
        <v>0</v>
      </c>
      <c r="AR312" s="7" t="s">
        <v>167</v>
      </c>
      <c r="AT312" s="7" t="s">
        <v>163</v>
      </c>
      <c r="AU312" s="7" t="s">
        <v>106</v>
      </c>
      <c r="AY312" s="7" t="s">
        <v>161</v>
      </c>
      <c r="BE312" s="89">
        <f>IF($U$312="základní",$N$312,0)</f>
        <v>0</v>
      </c>
      <c r="BF312" s="89">
        <f>IF($U$312="snížená",$N$312,0)</f>
        <v>0</v>
      </c>
      <c r="BG312" s="89">
        <f>IF($U$312="zákl. přenesená",$N$312,0)</f>
        <v>0</v>
      </c>
      <c r="BH312" s="89">
        <f>IF($U$312="sníž. přenesená",$N$312,0)</f>
        <v>0</v>
      </c>
      <c r="BI312" s="89">
        <f>IF($U$312="nulová",$N$312,0)</f>
        <v>0</v>
      </c>
      <c r="BJ312" s="7" t="s">
        <v>16</v>
      </c>
      <c r="BK312" s="89">
        <f>ROUND($L$312*$K$312,2)</f>
        <v>0</v>
      </c>
      <c r="BL312" s="7" t="s">
        <v>167</v>
      </c>
    </row>
    <row r="313" spans="2:51" s="7" customFormat="1" ht="15.75" customHeight="1">
      <c r="B313" s="142"/>
      <c r="C313" s="143"/>
      <c r="D313" s="143"/>
      <c r="E313" s="143"/>
      <c r="F313" s="215" t="s">
        <v>418</v>
      </c>
      <c r="G313" s="216"/>
      <c r="H313" s="216"/>
      <c r="I313" s="216"/>
      <c r="J313" s="143"/>
      <c r="K313" s="144">
        <v>22.635</v>
      </c>
      <c r="L313" s="143"/>
      <c r="M313" s="143"/>
      <c r="N313" s="143"/>
      <c r="O313" s="143"/>
      <c r="P313" s="143"/>
      <c r="Q313" s="143"/>
      <c r="R313" s="145"/>
      <c r="T313" s="146"/>
      <c r="U313" s="143"/>
      <c r="V313" s="143"/>
      <c r="W313" s="143"/>
      <c r="X313" s="143"/>
      <c r="Y313" s="143"/>
      <c r="Z313" s="143"/>
      <c r="AA313" s="147"/>
      <c r="AT313" s="148" t="s">
        <v>169</v>
      </c>
      <c r="AU313" s="148" t="s">
        <v>106</v>
      </c>
      <c r="AV313" s="148" t="s">
        <v>106</v>
      </c>
      <c r="AW313" s="148" t="s">
        <v>114</v>
      </c>
      <c r="AX313" s="148" t="s">
        <v>16</v>
      </c>
      <c r="AY313" s="148" t="s">
        <v>161</v>
      </c>
    </row>
    <row r="314" spans="2:64" s="7" customFormat="1" ht="27" customHeight="1">
      <c r="B314" s="23"/>
      <c r="C314" s="135" t="s">
        <v>419</v>
      </c>
      <c r="D314" s="135" t="s">
        <v>163</v>
      </c>
      <c r="E314" s="136" t="s">
        <v>420</v>
      </c>
      <c r="F314" s="217" t="s">
        <v>421</v>
      </c>
      <c r="G314" s="213"/>
      <c r="H314" s="213"/>
      <c r="I314" s="213"/>
      <c r="J314" s="137" t="s">
        <v>268</v>
      </c>
      <c r="K314" s="138">
        <v>22.635</v>
      </c>
      <c r="L314" s="212">
        <v>0</v>
      </c>
      <c r="M314" s="213"/>
      <c r="N314" s="214">
        <f>ROUND($L$314*$K$314,2)</f>
        <v>0</v>
      </c>
      <c r="O314" s="213"/>
      <c r="P314" s="213"/>
      <c r="Q314" s="213"/>
      <c r="R314" s="25"/>
      <c r="T314" s="139"/>
      <c r="U314" s="31" t="s">
        <v>41</v>
      </c>
      <c r="V314" s="140">
        <v>0.161</v>
      </c>
      <c r="W314" s="140">
        <f>$V$314*$K$314</f>
        <v>3.6442350000000006</v>
      </c>
      <c r="X314" s="140">
        <v>1E-05</v>
      </c>
      <c r="Y314" s="140">
        <f>$X$314*$K$314</f>
        <v>0.00022635000000000003</v>
      </c>
      <c r="Z314" s="140">
        <v>0</v>
      </c>
      <c r="AA314" s="141">
        <f>$Z$314*$K$314</f>
        <v>0</v>
      </c>
      <c r="AR314" s="7" t="s">
        <v>167</v>
      </c>
      <c r="AT314" s="7" t="s">
        <v>163</v>
      </c>
      <c r="AU314" s="7" t="s">
        <v>106</v>
      </c>
      <c r="AY314" s="7" t="s">
        <v>161</v>
      </c>
      <c r="BE314" s="89">
        <f>IF($U$314="základní",$N$314,0)</f>
        <v>0</v>
      </c>
      <c r="BF314" s="89">
        <f>IF($U$314="snížená",$N$314,0)</f>
        <v>0</v>
      </c>
      <c r="BG314" s="89">
        <f>IF($U$314="zákl. přenesená",$N$314,0)</f>
        <v>0</v>
      </c>
      <c r="BH314" s="89">
        <f>IF($U$314="sníž. přenesená",$N$314,0)</f>
        <v>0</v>
      </c>
      <c r="BI314" s="89">
        <f>IF($U$314="nulová",$N$314,0)</f>
        <v>0</v>
      </c>
      <c r="BJ314" s="7" t="s">
        <v>16</v>
      </c>
      <c r="BK314" s="89">
        <f>ROUND($L$314*$K$314,2)</f>
        <v>0</v>
      </c>
      <c r="BL314" s="7" t="s">
        <v>167</v>
      </c>
    </row>
    <row r="315" spans="2:51" s="7" customFormat="1" ht="15.75" customHeight="1">
      <c r="B315" s="142"/>
      <c r="C315" s="143"/>
      <c r="D315" s="143"/>
      <c r="E315" s="143"/>
      <c r="F315" s="215" t="s">
        <v>418</v>
      </c>
      <c r="G315" s="216"/>
      <c r="H315" s="216"/>
      <c r="I315" s="216"/>
      <c r="J315" s="143"/>
      <c r="K315" s="144">
        <v>22.635</v>
      </c>
      <c r="L315" s="143"/>
      <c r="M315" s="143"/>
      <c r="N315" s="143"/>
      <c r="O315" s="143"/>
      <c r="P315" s="143"/>
      <c r="Q315" s="143"/>
      <c r="R315" s="145"/>
      <c r="T315" s="146"/>
      <c r="U315" s="143"/>
      <c r="V315" s="143"/>
      <c r="W315" s="143"/>
      <c r="X315" s="143"/>
      <c r="Y315" s="143"/>
      <c r="Z315" s="143"/>
      <c r="AA315" s="147"/>
      <c r="AT315" s="148" t="s">
        <v>169</v>
      </c>
      <c r="AU315" s="148" t="s">
        <v>106</v>
      </c>
      <c r="AV315" s="148" t="s">
        <v>106</v>
      </c>
      <c r="AW315" s="148" t="s">
        <v>114</v>
      </c>
      <c r="AX315" s="148" t="s">
        <v>16</v>
      </c>
      <c r="AY315" s="148" t="s">
        <v>161</v>
      </c>
    </row>
    <row r="316" spans="2:64" s="7" customFormat="1" ht="27" customHeight="1">
      <c r="B316" s="23"/>
      <c r="C316" s="135" t="s">
        <v>422</v>
      </c>
      <c r="D316" s="135" t="s">
        <v>163</v>
      </c>
      <c r="E316" s="136" t="s">
        <v>423</v>
      </c>
      <c r="F316" s="217" t="s">
        <v>424</v>
      </c>
      <c r="G316" s="213"/>
      <c r="H316" s="213"/>
      <c r="I316" s="213"/>
      <c r="J316" s="137" t="s">
        <v>254</v>
      </c>
      <c r="K316" s="138">
        <v>2</v>
      </c>
      <c r="L316" s="212">
        <v>0</v>
      </c>
      <c r="M316" s="213"/>
      <c r="N316" s="214">
        <f>ROUND($L$316*$K$316,2)</f>
        <v>0</v>
      </c>
      <c r="O316" s="213"/>
      <c r="P316" s="213"/>
      <c r="Q316" s="213"/>
      <c r="R316" s="25"/>
      <c r="T316" s="139"/>
      <c r="U316" s="31" t="s">
        <v>41</v>
      </c>
      <c r="V316" s="140">
        <v>0.16</v>
      </c>
      <c r="W316" s="140">
        <f>$V$316*$K$316</f>
        <v>0.32</v>
      </c>
      <c r="X316" s="140">
        <v>0</v>
      </c>
      <c r="Y316" s="140">
        <f>$X$316*$K$316</f>
        <v>0</v>
      </c>
      <c r="Z316" s="140">
        <v>0</v>
      </c>
      <c r="AA316" s="141">
        <f>$Z$316*$K$316</f>
        <v>0</v>
      </c>
      <c r="AR316" s="7" t="s">
        <v>167</v>
      </c>
      <c r="AT316" s="7" t="s">
        <v>163</v>
      </c>
      <c r="AU316" s="7" t="s">
        <v>106</v>
      </c>
      <c r="AY316" s="7" t="s">
        <v>161</v>
      </c>
      <c r="BE316" s="89">
        <f>IF($U$316="základní",$N$316,0)</f>
        <v>0</v>
      </c>
      <c r="BF316" s="89">
        <f>IF($U$316="snížená",$N$316,0)</f>
        <v>0</v>
      </c>
      <c r="BG316" s="89">
        <f>IF($U$316="zákl. přenesená",$N$316,0)</f>
        <v>0</v>
      </c>
      <c r="BH316" s="89">
        <f>IF($U$316="sníž. přenesená",$N$316,0)</f>
        <v>0</v>
      </c>
      <c r="BI316" s="89">
        <f>IF($U$316="nulová",$N$316,0)</f>
        <v>0</v>
      </c>
      <c r="BJ316" s="7" t="s">
        <v>16</v>
      </c>
      <c r="BK316" s="89">
        <f>ROUND($L$316*$K$316,2)</f>
        <v>0</v>
      </c>
      <c r="BL316" s="7" t="s">
        <v>167</v>
      </c>
    </row>
    <row r="317" spans="2:64" s="7" customFormat="1" ht="15.75" customHeight="1">
      <c r="B317" s="23"/>
      <c r="C317" s="156" t="s">
        <v>425</v>
      </c>
      <c r="D317" s="156" t="s">
        <v>201</v>
      </c>
      <c r="E317" s="157" t="s">
        <v>426</v>
      </c>
      <c r="F317" s="219" t="s">
        <v>427</v>
      </c>
      <c r="G317" s="220"/>
      <c r="H317" s="220"/>
      <c r="I317" s="220"/>
      <c r="J317" s="158" t="s">
        <v>254</v>
      </c>
      <c r="K317" s="159">
        <v>2</v>
      </c>
      <c r="L317" s="221">
        <v>0</v>
      </c>
      <c r="M317" s="220"/>
      <c r="N317" s="222">
        <f>ROUND($L$317*$K$317,2)</f>
        <v>0</v>
      </c>
      <c r="O317" s="213"/>
      <c r="P317" s="213"/>
      <c r="Q317" s="213"/>
      <c r="R317" s="25"/>
      <c r="T317" s="139"/>
      <c r="U317" s="31" t="s">
        <v>41</v>
      </c>
      <c r="V317" s="140">
        <v>0</v>
      </c>
      <c r="W317" s="140">
        <f>$V$317*$K$317</f>
        <v>0</v>
      </c>
      <c r="X317" s="140">
        <v>0.0013</v>
      </c>
      <c r="Y317" s="140">
        <f>$X$317*$K$317</f>
        <v>0.0026</v>
      </c>
      <c r="Z317" s="140">
        <v>0</v>
      </c>
      <c r="AA317" s="141">
        <f>$Z$317*$K$317</f>
        <v>0</v>
      </c>
      <c r="AR317" s="7" t="s">
        <v>204</v>
      </c>
      <c r="AT317" s="7" t="s">
        <v>201</v>
      </c>
      <c r="AU317" s="7" t="s">
        <v>106</v>
      </c>
      <c r="AY317" s="7" t="s">
        <v>161</v>
      </c>
      <c r="BE317" s="89">
        <f>IF($U$317="základní",$N$317,0)</f>
        <v>0</v>
      </c>
      <c r="BF317" s="89">
        <f>IF($U$317="snížená",$N$317,0)</f>
        <v>0</v>
      </c>
      <c r="BG317" s="89">
        <f>IF($U$317="zákl. přenesená",$N$317,0)</f>
        <v>0</v>
      </c>
      <c r="BH317" s="89">
        <f>IF($U$317="sníž. přenesená",$N$317,0)</f>
        <v>0</v>
      </c>
      <c r="BI317" s="89">
        <f>IF($U$317="nulová",$N$317,0)</f>
        <v>0</v>
      </c>
      <c r="BJ317" s="7" t="s">
        <v>16</v>
      </c>
      <c r="BK317" s="89">
        <f>ROUND($L$317*$K$317,2)</f>
        <v>0</v>
      </c>
      <c r="BL317" s="7" t="s">
        <v>167</v>
      </c>
    </row>
    <row r="318" spans="2:63" s="124" customFormat="1" ht="30.75" customHeight="1">
      <c r="B318" s="125"/>
      <c r="C318" s="126"/>
      <c r="D318" s="134" t="s">
        <v>121</v>
      </c>
      <c r="E318" s="126"/>
      <c r="F318" s="126"/>
      <c r="G318" s="126"/>
      <c r="H318" s="126"/>
      <c r="I318" s="126"/>
      <c r="J318" s="126"/>
      <c r="K318" s="126"/>
      <c r="L318" s="126"/>
      <c r="M318" s="126"/>
      <c r="N318" s="206">
        <f>$BK$318</f>
        <v>0</v>
      </c>
      <c r="O318" s="207"/>
      <c r="P318" s="207"/>
      <c r="Q318" s="207"/>
      <c r="R318" s="128"/>
      <c r="T318" s="129"/>
      <c r="U318" s="126"/>
      <c r="V318" s="126"/>
      <c r="W318" s="130">
        <f>$W$319+SUM($W$320:$W$375)</f>
        <v>696.2815169999999</v>
      </c>
      <c r="X318" s="126"/>
      <c r="Y318" s="130">
        <f>$Y$319+SUM($Y$320:$Y$375)</f>
        <v>0.005541000000000001</v>
      </c>
      <c r="Z318" s="126"/>
      <c r="AA318" s="131">
        <f>$AA$319+SUM($AA$320:$AA$375)</f>
        <v>41.703618000000006</v>
      </c>
      <c r="AR318" s="132" t="s">
        <v>16</v>
      </c>
      <c r="AT318" s="132" t="s">
        <v>75</v>
      </c>
      <c r="AU318" s="132" t="s">
        <v>16</v>
      </c>
      <c r="AY318" s="132" t="s">
        <v>161</v>
      </c>
      <c r="BK318" s="133">
        <f>$BK$319+SUM($BK$320:$BK$375)</f>
        <v>0</v>
      </c>
    </row>
    <row r="319" spans="2:64" s="7" customFormat="1" ht="27" customHeight="1">
      <c r="B319" s="23"/>
      <c r="C319" s="135" t="s">
        <v>428</v>
      </c>
      <c r="D319" s="135" t="s">
        <v>163</v>
      </c>
      <c r="E319" s="136" t="s">
        <v>429</v>
      </c>
      <c r="F319" s="217" t="s">
        <v>430</v>
      </c>
      <c r="G319" s="213"/>
      <c r="H319" s="213"/>
      <c r="I319" s="213"/>
      <c r="J319" s="137" t="s">
        <v>268</v>
      </c>
      <c r="K319" s="138">
        <v>19.5</v>
      </c>
      <c r="L319" s="212">
        <v>0</v>
      </c>
      <c r="M319" s="213"/>
      <c r="N319" s="214">
        <f>ROUND($L$319*$K$319,2)</f>
        <v>0</v>
      </c>
      <c r="O319" s="213"/>
      <c r="P319" s="213"/>
      <c r="Q319" s="213"/>
      <c r="R319" s="25"/>
      <c r="T319" s="139"/>
      <c r="U319" s="31" t="s">
        <v>41</v>
      </c>
      <c r="V319" s="140">
        <v>0.451</v>
      </c>
      <c r="W319" s="140">
        <f>$V$319*$K$319</f>
        <v>8.794500000000001</v>
      </c>
      <c r="X319" s="140">
        <v>3E-05</v>
      </c>
      <c r="Y319" s="140">
        <f>$X$319*$K$319</f>
        <v>0.000585</v>
      </c>
      <c r="Z319" s="140">
        <v>0</v>
      </c>
      <c r="AA319" s="141">
        <f>$Z$319*$K$319</f>
        <v>0</v>
      </c>
      <c r="AR319" s="7" t="s">
        <v>167</v>
      </c>
      <c r="AT319" s="7" t="s">
        <v>163</v>
      </c>
      <c r="AU319" s="7" t="s">
        <v>106</v>
      </c>
      <c r="AY319" s="7" t="s">
        <v>161</v>
      </c>
      <c r="BE319" s="89">
        <f>IF($U$319="základní",$N$319,0)</f>
        <v>0</v>
      </c>
      <c r="BF319" s="89">
        <f>IF($U$319="snížená",$N$319,0)</f>
        <v>0</v>
      </c>
      <c r="BG319" s="89">
        <f>IF($U$319="zákl. přenesená",$N$319,0)</f>
        <v>0</v>
      </c>
      <c r="BH319" s="89">
        <f>IF($U$319="sníž. přenesená",$N$319,0)</f>
        <v>0</v>
      </c>
      <c r="BI319" s="89">
        <f>IF($U$319="nulová",$N$319,0)</f>
        <v>0</v>
      </c>
      <c r="BJ319" s="7" t="s">
        <v>16</v>
      </c>
      <c r="BK319" s="89">
        <f>ROUND($L$319*$K$319,2)</f>
        <v>0</v>
      </c>
      <c r="BL319" s="7" t="s">
        <v>167</v>
      </c>
    </row>
    <row r="320" spans="2:51" s="7" customFormat="1" ht="15.75" customHeight="1">
      <c r="B320" s="142"/>
      <c r="C320" s="143"/>
      <c r="D320" s="143"/>
      <c r="E320" s="143"/>
      <c r="F320" s="215" t="s">
        <v>431</v>
      </c>
      <c r="G320" s="216"/>
      <c r="H320" s="216"/>
      <c r="I320" s="216"/>
      <c r="J320" s="143"/>
      <c r="K320" s="144">
        <v>16.5</v>
      </c>
      <c r="L320" s="143"/>
      <c r="M320" s="143"/>
      <c r="N320" s="143"/>
      <c r="O320" s="143"/>
      <c r="P320" s="143"/>
      <c r="Q320" s="143"/>
      <c r="R320" s="145"/>
      <c r="T320" s="146"/>
      <c r="U320" s="143"/>
      <c r="V320" s="143"/>
      <c r="W320" s="143"/>
      <c r="X320" s="143"/>
      <c r="Y320" s="143"/>
      <c r="Z320" s="143"/>
      <c r="AA320" s="147"/>
      <c r="AT320" s="148" t="s">
        <v>169</v>
      </c>
      <c r="AU320" s="148" t="s">
        <v>106</v>
      </c>
      <c r="AV320" s="148" t="s">
        <v>106</v>
      </c>
      <c r="AW320" s="148" t="s">
        <v>114</v>
      </c>
      <c r="AX320" s="148" t="s">
        <v>76</v>
      </c>
      <c r="AY320" s="148" t="s">
        <v>161</v>
      </c>
    </row>
    <row r="321" spans="2:51" s="7" customFormat="1" ht="15.75" customHeight="1">
      <c r="B321" s="142"/>
      <c r="C321" s="143"/>
      <c r="D321" s="143"/>
      <c r="E321" s="143"/>
      <c r="F321" s="215" t="s">
        <v>432</v>
      </c>
      <c r="G321" s="216"/>
      <c r="H321" s="216"/>
      <c r="I321" s="216"/>
      <c r="J321" s="143"/>
      <c r="K321" s="144">
        <v>3</v>
      </c>
      <c r="L321" s="143"/>
      <c r="M321" s="143"/>
      <c r="N321" s="143"/>
      <c r="O321" s="143"/>
      <c r="P321" s="143"/>
      <c r="Q321" s="143"/>
      <c r="R321" s="145"/>
      <c r="T321" s="146"/>
      <c r="U321" s="143"/>
      <c r="V321" s="143"/>
      <c r="W321" s="143"/>
      <c r="X321" s="143"/>
      <c r="Y321" s="143"/>
      <c r="Z321" s="143"/>
      <c r="AA321" s="147"/>
      <c r="AT321" s="148" t="s">
        <v>169</v>
      </c>
      <c r="AU321" s="148" t="s">
        <v>106</v>
      </c>
      <c r="AV321" s="148" t="s">
        <v>106</v>
      </c>
      <c r="AW321" s="148" t="s">
        <v>114</v>
      </c>
      <c r="AX321" s="148" t="s">
        <v>76</v>
      </c>
      <c r="AY321" s="148" t="s">
        <v>161</v>
      </c>
    </row>
    <row r="322" spans="2:51" s="7" customFormat="1" ht="15.75" customHeight="1">
      <c r="B322" s="149"/>
      <c r="C322" s="150"/>
      <c r="D322" s="150"/>
      <c r="E322" s="150"/>
      <c r="F322" s="223" t="s">
        <v>178</v>
      </c>
      <c r="G322" s="224"/>
      <c r="H322" s="224"/>
      <c r="I322" s="224"/>
      <c r="J322" s="150"/>
      <c r="K322" s="151">
        <v>19.5</v>
      </c>
      <c r="L322" s="150"/>
      <c r="M322" s="150"/>
      <c r="N322" s="150"/>
      <c r="O322" s="150"/>
      <c r="P322" s="150"/>
      <c r="Q322" s="150"/>
      <c r="R322" s="152"/>
      <c r="T322" s="153"/>
      <c r="U322" s="150"/>
      <c r="V322" s="150"/>
      <c r="W322" s="150"/>
      <c r="X322" s="150"/>
      <c r="Y322" s="150"/>
      <c r="Z322" s="150"/>
      <c r="AA322" s="154"/>
      <c r="AT322" s="155" t="s">
        <v>169</v>
      </c>
      <c r="AU322" s="155" t="s">
        <v>106</v>
      </c>
      <c r="AV322" s="155" t="s">
        <v>167</v>
      </c>
      <c r="AW322" s="155" t="s">
        <v>114</v>
      </c>
      <c r="AX322" s="155" t="s">
        <v>16</v>
      </c>
      <c r="AY322" s="155" t="s">
        <v>161</v>
      </c>
    </row>
    <row r="323" spans="2:64" s="7" customFormat="1" ht="39" customHeight="1">
      <c r="B323" s="23"/>
      <c r="C323" s="135" t="s">
        <v>433</v>
      </c>
      <c r="D323" s="135" t="s">
        <v>163</v>
      </c>
      <c r="E323" s="136" t="s">
        <v>434</v>
      </c>
      <c r="F323" s="217" t="s">
        <v>435</v>
      </c>
      <c r="G323" s="213"/>
      <c r="H323" s="213"/>
      <c r="I323" s="213"/>
      <c r="J323" s="137" t="s">
        <v>214</v>
      </c>
      <c r="K323" s="138">
        <v>306.71</v>
      </c>
      <c r="L323" s="212">
        <v>0</v>
      </c>
      <c r="M323" s="213"/>
      <c r="N323" s="214">
        <f>ROUND($L$323*$K$323,2)</f>
        <v>0</v>
      </c>
      <c r="O323" s="213"/>
      <c r="P323" s="213"/>
      <c r="Q323" s="213"/>
      <c r="R323" s="25"/>
      <c r="T323" s="139"/>
      <c r="U323" s="31" t="s">
        <v>41</v>
      </c>
      <c r="V323" s="140">
        <v>0.14</v>
      </c>
      <c r="W323" s="140">
        <f>$V$323*$K$323</f>
        <v>42.9394</v>
      </c>
      <c r="X323" s="140">
        <v>0</v>
      </c>
      <c r="Y323" s="140">
        <f>$X$323*$K$323</f>
        <v>0</v>
      </c>
      <c r="Z323" s="140">
        <v>0</v>
      </c>
      <c r="AA323" s="141">
        <f>$Z$323*$K$323</f>
        <v>0</v>
      </c>
      <c r="AR323" s="7" t="s">
        <v>167</v>
      </c>
      <c r="AT323" s="7" t="s">
        <v>163</v>
      </c>
      <c r="AU323" s="7" t="s">
        <v>106</v>
      </c>
      <c r="AY323" s="7" t="s">
        <v>161</v>
      </c>
      <c r="BE323" s="89">
        <f>IF($U$323="základní",$N$323,0)</f>
        <v>0</v>
      </c>
      <c r="BF323" s="89">
        <f>IF($U$323="snížená",$N$323,0)</f>
        <v>0</v>
      </c>
      <c r="BG323" s="89">
        <f>IF($U$323="zákl. přenesená",$N$323,0)</f>
        <v>0</v>
      </c>
      <c r="BH323" s="89">
        <f>IF($U$323="sníž. přenesená",$N$323,0)</f>
        <v>0</v>
      </c>
      <c r="BI323" s="89">
        <f>IF($U$323="nulová",$N$323,0)</f>
        <v>0</v>
      </c>
      <c r="BJ323" s="7" t="s">
        <v>16</v>
      </c>
      <c r="BK323" s="89">
        <f>ROUND($L$323*$K$323,2)</f>
        <v>0</v>
      </c>
      <c r="BL323" s="7" t="s">
        <v>167</v>
      </c>
    </row>
    <row r="324" spans="2:51" s="7" customFormat="1" ht="15.75" customHeight="1">
      <c r="B324" s="142"/>
      <c r="C324" s="143"/>
      <c r="D324" s="143"/>
      <c r="E324" s="143"/>
      <c r="F324" s="215" t="s">
        <v>436</v>
      </c>
      <c r="G324" s="216"/>
      <c r="H324" s="216"/>
      <c r="I324" s="216"/>
      <c r="J324" s="143"/>
      <c r="K324" s="144">
        <v>143.6</v>
      </c>
      <c r="L324" s="143"/>
      <c r="M324" s="143"/>
      <c r="N324" s="143"/>
      <c r="O324" s="143"/>
      <c r="P324" s="143"/>
      <c r="Q324" s="143"/>
      <c r="R324" s="145"/>
      <c r="T324" s="146"/>
      <c r="U324" s="143"/>
      <c r="V324" s="143"/>
      <c r="W324" s="143"/>
      <c r="X324" s="143"/>
      <c r="Y324" s="143"/>
      <c r="Z324" s="143"/>
      <c r="AA324" s="147"/>
      <c r="AT324" s="148" t="s">
        <v>169</v>
      </c>
      <c r="AU324" s="148" t="s">
        <v>106</v>
      </c>
      <c r="AV324" s="148" t="s">
        <v>106</v>
      </c>
      <c r="AW324" s="148" t="s">
        <v>114</v>
      </c>
      <c r="AX324" s="148" t="s">
        <v>76</v>
      </c>
      <c r="AY324" s="148" t="s">
        <v>161</v>
      </c>
    </row>
    <row r="325" spans="2:51" s="7" customFormat="1" ht="15.75" customHeight="1">
      <c r="B325" s="142"/>
      <c r="C325" s="143"/>
      <c r="D325" s="143"/>
      <c r="E325" s="143"/>
      <c r="F325" s="215" t="s">
        <v>437</v>
      </c>
      <c r="G325" s="216"/>
      <c r="H325" s="216"/>
      <c r="I325" s="216"/>
      <c r="J325" s="143"/>
      <c r="K325" s="144">
        <v>163.11</v>
      </c>
      <c r="L325" s="143"/>
      <c r="M325" s="143"/>
      <c r="N325" s="143"/>
      <c r="O325" s="143"/>
      <c r="P325" s="143"/>
      <c r="Q325" s="143"/>
      <c r="R325" s="145"/>
      <c r="T325" s="146"/>
      <c r="U325" s="143"/>
      <c r="V325" s="143"/>
      <c r="W325" s="143"/>
      <c r="X325" s="143"/>
      <c r="Y325" s="143"/>
      <c r="Z325" s="143"/>
      <c r="AA325" s="147"/>
      <c r="AT325" s="148" t="s">
        <v>169</v>
      </c>
      <c r="AU325" s="148" t="s">
        <v>106</v>
      </c>
      <c r="AV325" s="148" t="s">
        <v>106</v>
      </c>
      <c r="AW325" s="148" t="s">
        <v>114</v>
      </c>
      <c r="AX325" s="148" t="s">
        <v>76</v>
      </c>
      <c r="AY325" s="148" t="s">
        <v>161</v>
      </c>
    </row>
    <row r="326" spans="2:51" s="7" customFormat="1" ht="15.75" customHeight="1">
      <c r="B326" s="149"/>
      <c r="C326" s="150"/>
      <c r="D326" s="150"/>
      <c r="E326" s="150"/>
      <c r="F326" s="223" t="s">
        <v>178</v>
      </c>
      <c r="G326" s="224"/>
      <c r="H326" s="224"/>
      <c r="I326" s="224"/>
      <c r="J326" s="150"/>
      <c r="K326" s="151">
        <v>306.71</v>
      </c>
      <c r="L326" s="150"/>
      <c r="M326" s="150"/>
      <c r="N326" s="150"/>
      <c r="O326" s="150"/>
      <c r="P326" s="150"/>
      <c r="Q326" s="150"/>
      <c r="R326" s="152"/>
      <c r="T326" s="153"/>
      <c r="U326" s="150"/>
      <c r="V326" s="150"/>
      <c r="W326" s="150"/>
      <c r="X326" s="150"/>
      <c r="Y326" s="150"/>
      <c r="Z326" s="150"/>
      <c r="AA326" s="154"/>
      <c r="AT326" s="155" t="s">
        <v>169</v>
      </c>
      <c r="AU326" s="155" t="s">
        <v>106</v>
      </c>
      <c r="AV326" s="155" t="s">
        <v>167</v>
      </c>
      <c r="AW326" s="155" t="s">
        <v>114</v>
      </c>
      <c r="AX326" s="155" t="s">
        <v>16</v>
      </c>
      <c r="AY326" s="155" t="s">
        <v>161</v>
      </c>
    </row>
    <row r="327" spans="2:64" s="7" customFormat="1" ht="39" customHeight="1">
      <c r="B327" s="23"/>
      <c r="C327" s="135" t="s">
        <v>438</v>
      </c>
      <c r="D327" s="135" t="s">
        <v>163</v>
      </c>
      <c r="E327" s="136" t="s">
        <v>439</v>
      </c>
      <c r="F327" s="217" t="s">
        <v>440</v>
      </c>
      <c r="G327" s="213"/>
      <c r="H327" s="213"/>
      <c r="I327" s="213"/>
      <c r="J327" s="137" t="s">
        <v>214</v>
      </c>
      <c r="K327" s="138">
        <v>144</v>
      </c>
      <c r="L327" s="212">
        <v>0</v>
      </c>
      <c r="M327" s="213"/>
      <c r="N327" s="214">
        <f>ROUND($L$327*$K$327,2)</f>
        <v>0</v>
      </c>
      <c r="O327" s="213"/>
      <c r="P327" s="213"/>
      <c r="Q327" s="213"/>
      <c r="R327" s="25"/>
      <c r="T327" s="139"/>
      <c r="U327" s="31" t="s">
        <v>41</v>
      </c>
      <c r="V327" s="140">
        <v>0.154</v>
      </c>
      <c r="W327" s="140">
        <f>$V$327*$K$327</f>
        <v>22.176</v>
      </c>
      <c r="X327" s="140">
        <v>0</v>
      </c>
      <c r="Y327" s="140">
        <f>$X$327*$K$327</f>
        <v>0</v>
      </c>
      <c r="Z327" s="140">
        <v>0</v>
      </c>
      <c r="AA327" s="141">
        <f>$Z$327*$K$327</f>
        <v>0</v>
      </c>
      <c r="AR327" s="7" t="s">
        <v>167</v>
      </c>
      <c r="AT327" s="7" t="s">
        <v>163</v>
      </c>
      <c r="AU327" s="7" t="s">
        <v>106</v>
      </c>
      <c r="AY327" s="7" t="s">
        <v>161</v>
      </c>
      <c r="BE327" s="89">
        <f>IF($U$327="základní",$N$327,0)</f>
        <v>0</v>
      </c>
      <c r="BF327" s="89">
        <f>IF($U$327="snížená",$N$327,0)</f>
        <v>0</v>
      </c>
      <c r="BG327" s="89">
        <f>IF($U$327="zákl. přenesená",$N$327,0)</f>
        <v>0</v>
      </c>
      <c r="BH327" s="89">
        <f>IF($U$327="sníž. přenesená",$N$327,0)</f>
        <v>0</v>
      </c>
      <c r="BI327" s="89">
        <f>IF($U$327="nulová",$N$327,0)</f>
        <v>0</v>
      </c>
      <c r="BJ327" s="7" t="s">
        <v>16</v>
      </c>
      <c r="BK327" s="89">
        <f>ROUND($L$327*$K$327,2)</f>
        <v>0</v>
      </c>
      <c r="BL327" s="7" t="s">
        <v>167</v>
      </c>
    </row>
    <row r="328" spans="2:51" s="7" customFormat="1" ht="15.75" customHeight="1">
      <c r="B328" s="142"/>
      <c r="C328" s="143"/>
      <c r="D328" s="143"/>
      <c r="E328" s="143"/>
      <c r="F328" s="215" t="s">
        <v>441</v>
      </c>
      <c r="G328" s="216"/>
      <c r="H328" s="216"/>
      <c r="I328" s="216"/>
      <c r="J328" s="143"/>
      <c r="K328" s="144">
        <v>144</v>
      </c>
      <c r="L328" s="143"/>
      <c r="M328" s="143"/>
      <c r="N328" s="143"/>
      <c r="O328" s="143"/>
      <c r="P328" s="143"/>
      <c r="Q328" s="143"/>
      <c r="R328" s="145"/>
      <c r="T328" s="146"/>
      <c r="U328" s="143"/>
      <c r="V328" s="143"/>
      <c r="W328" s="143"/>
      <c r="X328" s="143"/>
      <c r="Y328" s="143"/>
      <c r="Z328" s="143"/>
      <c r="AA328" s="147"/>
      <c r="AT328" s="148" t="s">
        <v>169</v>
      </c>
      <c r="AU328" s="148" t="s">
        <v>106</v>
      </c>
      <c r="AV328" s="148" t="s">
        <v>106</v>
      </c>
      <c r="AW328" s="148" t="s">
        <v>114</v>
      </c>
      <c r="AX328" s="148" t="s">
        <v>16</v>
      </c>
      <c r="AY328" s="148" t="s">
        <v>161</v>
      </c>
    </row>
    <row r="329" spans="2:64" s="7" customFormat="1" ht="39" customHeight="1">
      <c r="B329" s="23"/>
      <c r="C329" s="135" t="s">
        <v>442</v>
      </c>
      <c r="D329" s="135" t="s">
        <v>163</v>
      </c>
      <c r="E329" s="136" t="s">
        <v>443</v>
      </c>
      <c r="F329" s="217" t="s">
        <v>444</v>
      </c>
      <c r="G329" s="213"/>
      <c r="H329" s="213"/>
      <c r="I329" s="213"/>
      <c r="J329" s="137" t="s">
        <v>214</v>
      </c>
      <c r="K329" s="138">
        <v>8745.54</v>
      </c>
      <c r="L329" s="212">
        <v>0</v>
      </c>
      <c r="M329" s="213"/>
      <c r="N329" s="214">
        <f>ROUND($L$329*$K$329,2)</f>
        <v>0</v>
      </c>
      <c r="O329" s="213"/>
      <c r="P329" s="213"/>
      <c r="Q329" s="213"/>
      <c r="R329" s="25"/>
      <c r="T329" s="139"/>
      <c r="U329" s="31" t="s">
        <v>41</v>
      </c>
      <c r="V329" s="140">
        <v>0</v>
      </c>
      <c r="W329" s="140">
        <f>$V$329*$K$329</f>
        <v>0</v>
      </c>
      <c r="X329" s="140">
        <v>0</v>
      </c>
      <c r="Y329" s="140">
        <f>$X$329*$K$329</f>
        <v>0</v>
      </c>
      <c r="Z329" s="140">
        <v>0</v>
      </c>
      <c r="AA329" s="141">
        <f>$Z$329*$K$329</f>
        <v>0</v>
      </c>
      <c r="AR329" s="7" t="s">
        <v>167</v>
      </c>
      <c r="AT329" s="7" t="s">
        <v>163</v>
      </c>
      <c r="AU329" s="7" t="s">
        <v>106</v>
      </c>
      <c r="AY329" s="7" t="s">
        <v>161</v>
      </c>
      <c r="BE329" s="89">
        <f>IF($U$329="základní",$N$329,0)</f>
        <v>0</v>
      </c>
      <c r="BF329" s="89">
        <f>IF($U$329="snížená",$N$329,0)</f>
        <v>0</v>
      </c>
      <c r="BG329" s="89">
        <f>IF($U$329="zákl. přenesená",$N$329,0)</f>
        <v>0</v>
      </c>
      <c r="BH329" s="89">
        <f>IF($U$329="sníž. přenesená",$N$329,0)</f>
        <v>0</v>
      </c>
      <c r="BI329" s="89">
        <f>IF($U$329="nulová",$N$329,0)</f>
        <v>0</v>
      </c>
      <c r="BJ329" s="7" t="s">
        <v>16</v>
      </c>
      <c r="BK329" s="89">
        <f>ROUND($L$329*$K$329,2)</f>
        <v>0</v>
      </c>
      <c r="BL329" s="7" t="s">
        <v>167</v>
      </c>
    </row>
    <row r="330" spans="2:51" s="7" customFormat="1" ht="15.75" customHeight="1">
      <c r="B330" s="142"/>
      <c r="C330" s="143"/>
      <c r="D330" s="143"/>
      <c r="E330" s="143"/>
      <c r="F330" s="215" t="s">
        <v>445</v>
      </c>
      <c r="G330" s="216"/>
      <c r="H330" s="216"/>
      <c r="I330" s="216"/>
      <c r="J330" s="143"/>
      <c r="K330" s="144">
        <v>6462</v>
      </c>
      <c r="L330" s="143"/>
      <c r="M330" s="143"/>
      <c r="N330" s="143"/>
      <c r="O330" s="143"/>
      <c r="P330" s="143"/>
      <c r="Q330" s="143"/>
      <c r="R330" s="145"/>
      <c r="T330" s="146"/>
      <c r="U330" s="143"/>
      <c r="V330" s="143"/>
      <c r="W330" s="143"/>
      <c r="X330" s="143"/>
      <c r="Y330" s="143"/>
      <c r="Z330" s="143"/>
      <c r="AA330" s="147"/>
      <c r="AT330" s="148" t="s">
        <v>169</v>
      </c>
      <c r="AU330" s="148" t="s">
        <v>106</v>
      </c>
      <c r="AV330" s="148" t="s">
        <v>106</v>
      </c>
      <c r="AW330" s="148" t="s">
        <v>114</v>
      </c>
      <c r="AX330" s="148" t="s">
        <v>76</v>
      </c>
      <c r="AY330" s="148" t="s">
        <v>161</v>
      </c>
    </row>
    <row r="331" spans="2:51" s="7" customFormat="1" ht="15.75" customHeight="1">
      <c r="B331" s="142"/>
      <c r="C331" s="143"/>
      <c r="D331" s="143"/>
      <c r="E331" s="143"/>
      <c r="F331" s="215" t="s">
        <v>446</v>
      </c>
      <c r="G331" s="216"/>
      <c r="H331" s="216"/>
      <c r="I331" s="216"/>
      <c r="J331" s="143"/>
      <c r="K331" s="144">
        <v>2283.54</v>
      </c>
      <c r="L331" s="143"/>
      <c r="M331" s="143"/>
      <c r="N331" s="143"/>
      <c r="O331" s="143"/>
      <c r="P331" s="143"/>
      <c r="Q331" s="143"/>
      <c r="R331" s="145"/>
      <c r="T331" s="146"/>
      <c r="U331" s="143"/>
      <c r="V331" s="143"/>
      <c r="W331" s="143"/>
      <c r="X331" s="143"/>
      <c r="Y331" s="143"/>
      <c r="Z331" s="143"/>
      <c r="AA331" s="147"/>
      <c r="AT331" s="148" t="s">
        <v>169</v>
      </c>
      <c r="AU331" s="148" t="s">
        <v>106</v>
      </c>
      <c r="AV331" s="148" t="s">
        <v>106</v>
      </c>
      <c r="AW331" s="148" t="s">
        <v>114</v>
      </c>
      <c r="AX331" s="148" t="s">
        <v>76</v>
      </c>
      <c r="AY331" s="148" t="s">
        <v>161</v>
      </c>
    </row>
    <row r="332" spans="2:51" s="7" customFormat="1" ht="15.75" customHeight="1">
      <c r="B332" s="149"/>
      <c r="C332" s="150"/>
      <c r="D332" s="150"/>
      <c r="E332" s="150"/>
      <c r="F332" s="223" t="s">
        <v>178</v>
      </c>
      <c r="G332" s="224"/>
      <c r="H332" s="224"/>
      <c r="I332" s="224"/>
      <c r="J332" s="150"/>
      <c r="K332" s="151">
        <v>8745.54</v>
      </c>
      <c r="L332" s="150"/>
      <c r="M332" s="150"/>
      <c r="N332" s="150"/>
      <c r="O332" s="150"/>
      <c r="P332" s="150"/>
      <c r="Q332" s="150"/>
      <c r="R332" s="152"/>
      <c r="T332" s="153"/>
      <c r="U332" s="150"/>
      <c r="V332" s="150"/>
      <c r="W332" s="150"/>
      <c r="X332" s="150"/>
      <c r="Y332" s="150"/>
      <c r="Z332" s="150"/>
      <c r="AA332" s="154"/>
      <c r="AT332" s="155" t="s">
        <v>169</v>
      </c>
      <c r="AU332" s="155" t="s">
        <v>106</v>
      </c>
      <c r="AV332" s="155" t="s">
        <v>167</v>
      </c>
      <c r="AW332" s="155" t="s">
        <v>114</v>
      </c>
      <c r="AX332" s="155" t="s">
        <v>16</v>
      </c>
      <c r="AY332" s="155" t="s">
        <v>161</v>
      </c>
    </row>
    <row r="333" spans="2:64" s="7" customFormat="1" ht="39" customHeight="1">
      <c r="B333" s="23"/>
      <c r="C333" s="135" t="s">
        <v>447</v>
      </c>
      <c r="D333" s="135" t="s">
        <v>163</v>
      </c>
      <c r="E333" s="136" t="s">
        <v>448</v>
      </c>
      <c r="F333" s="217" t="s">
        <v>449</v>
      </c>
      <c r="G333" s="213"/>
      <c r="H333" s="213"/>
      <c r="I333" s="213"/>
      <c r="J333" s="137" t="s">
        <v>214</v>
      </c>
      <c r="K333" s="138">
        <v>6480</v>
      </c>
      <c r="L333" s="212">
        <v>0</v>
      </c>
      <c r="M333" s="213"/>
      <c r="N333" s="214">
        <f>ROUND($L$333*$K$333,2)</f>
        <v>0</v>
      </c>
      <c r="O333" s="213"/>
      <c r="P333" s="213"/>
      <c r="Q333" s="213"/>
      <c r="R333" s="25"/>
      <c r="T333" s="139"/>
      <c r="U333" s="31" t="s">
        <v>41</v>
      </c>
      <c r="V333" s="140">
        <v>0</v>
      </c>
      <c r="W333" s="140">
        <f>$V$333*$K$333</f>
        <v>0</v>
      </c>
      <c r="X333" s="140">
        <v>0</v>
      </c>
      <c r="Y333" s="140">
        <f>$X$333*$K$333</f>
        <v>0</v>
      </c>
      <c r="Z333" s="140">
        <v>0</v>
      </c>
      <c r="AA333" s="141">
        <f>$Z$333*$K$333</f>
        <v>0</v>
      </c>
      <c r="AR333" s="7" t="s">
        <v>167</v>
      </c>
      <c r="AT333" s="7" t="s">
        <v>163</v>
      </c>
      <c r="AU333" s="7" t="s">
        <v>106</v>
      </c>
      <c r="AY333" s="7" t="s">
        <v>161</v>
      </c>
      <c r="BE333" s="89">
        <f>IF($U$333="základní",$N$333,0)</f>
        <v>0</v>
      </c>
      <c r="BF333" s="89">
        <f>IF($U$333="snížená",$N$333,0)</f>
        <v>0</v>
      </c>
      <c r="BG333" s="89">
        <f>IF($U$333="zákl. přenesená",$N$333,0)</f>
        <v>0</v>
      </c>
      <c r="BH333" s="89">
        <f>IF($U$333="sníž. přenesená",$N$333,0)</f>
        <v>0</v>
      </c>
      <c r="BI333" s="89">
        <f>IF($U$333="nulová",$N$333,0)</f>
        <v>0</v>
      </c>
      <c r="BJ333" s="7" t="s">
        <v>16</v>
      </c>
      <c r="BK333" s="89">
        <f>ROUND($L$333*$K$333,2)</f>
        <v>0</v>
      </c>
      <c r="BL333" s="7" t="s">
        <v>167</v>
      </c>
    </row>
    <row r="334" spans="2:51" s="7" customFormat="1" ht="15.75" customHeight="1">
      <c r="B334" s="142"/>
      <c r="C334" s="143"/>
      <c r="D334" s="143"/>
      <c r="E334" s="143"/>
      <c r="F334" s="215" t="s">
        <v>450</v>
      </c>
      <c r="G334" s="216"/>
      <c r="H334" s="216"/>
      <c r="I334" s="216"/>
      <c r="J334" s="143"/>
      <c r="K334" s="144">
        <v>6480</v>
      </c>
      <c r="L334" s="143"/>
      <c r="M334" s="143"/>
      <c r="N334" s="143"/>
      <c r="O334" s="143"/>
      <c r="P334" s="143"/>
      <c r="Q334" s="143"/>
      <c r="R334" s="145"/>
      <c r="T334" s="146"/>
      <c r="U334" s="143"/>
      <c r="V334" s="143"/>
      <c r="W334" s="143"/>
      <c r="X334" s="143"/>
      <c r="Y334" s="143"/>
      <c r="Z334" s="143"/>
      <c r="AA334" s="147"/>
      <c r="AT334" s="148" t="s">
        <v>169</v>
      </c>
      <c r="AU334" s="148" t="s">
        <v>106</v>
      </c>
      <c r="AV334" s="148" t="s">
        <v>106</v>
      </c>
      <c r="AW334" s="148" t="s">
        <v>114</v>
      </c>
      <c r="AX334" s="148" t="s">
        <v>16</v>
      </c>
      <c r="AY334" s="148" t="s">
        <v>161</v>
      </c>
    </row>
    <row r="335" spans="2:64" s="7" customFormat="1" ht="39" customHeight="1">
      <c r="B335" s="23"/>
      <c r="C335" s="135" t="s">
        <v>451</v>
      </c>
      <c r="D335" s="135" t="s">
        <v>163</v>
      </c>
      <c r="E335" s="136" t="s">
        <v>452</v>
      </c>
      <c r="F335" s="217" t="s">
        <v>453</v>
      </c>
      <c r="G335" s="213"/>
      <c r="H335" s="213"/>
      <c r="I335" s="213"/>
      <c r="J335" s="137" t="s">
        <v>214</v>
      </c>
      <c r="K335" s="138">
        <v>306.71</v>
      </c>
      <c r="L335" s="212">
        <v>0</v>
      </c>
      <c r="M335" s="213"/>
      <c r="N335" s="214">
        <f>ROUND($L$335*$K$335,2)</f>
        <v>0</v>
      </c>
      <c r="O335" s="213"/>
      <c r="P335" s="213"/>
      <c r="Q335" s="213"/>
      <c r="R335" s="25"/>
      <c r="T335" s="139"/>
      <c r="U335" s="31" t="s">
        <v>41</v>
      </c>
      <c r="V335" s="140">
        <v>0.087</v>
      </c>
      <c r="W335" s="140">
        <f>$V$335*$K$335</f>
        <v>26.683769999999996</v>
      </c>
      <c r="X335" s="140">
        <v>0</v>
      </c>
      <c r="Y335" s="140">
        <f>$X$335*$K$335</f>
        <v>0</v>
      </c>
      <c r="Z335" s="140">
        <v>0</v>
      </c>
      <c r="AA335" s="141">
        <f>$Z$335*$K$335</f>
        <v>0</v>
      </c>
      <c r="AR335" s="7" t="s">
        <v>167</v>
      </c>
      <c r="AT335" s="7" t="s">
        <v>163</v>
      </c>
      <c r="AU335" s="7" t="s">
        <v>106</v>
      </c>
      <c r="AY335" s="7" t="s">
        <v>161</v>
      </c>
      <c r="BE335" s="89">
        <f>IF($U$335="základní",$N$335,0)</f>
        <v>0</v>
      </c>
      <c r="BF335" s="89">
        <f>IF($U$335="snížená",$N$335,0)</f>
        <v>0</v>
      </c>
      <c r="BG335" s="89">
        <f>IF($U$335="zákl. přenesená",$N$335,0)</f>
        <v>0</v>
      </c>
      <c r="BH335" s="89">
        <f>IF($U$335="sníž. přenesená",$N$335,0)</f>
        <v>0</v>
      </c>
      <c r="BI335" s="89">
        <f>IF($U$335="nulová",$N$335,0)</f>
        <v>0</v>
      </c>
      <c r="BJ335" s="7" t="s">
        <v>16</v>
      </c>
      <c r="BK335" s="89">
        <f>ROUND($L$335*$K$335,2)</f>
        <v>0</v>
      </c>
      <c r="BL335" s="7" t="s">
        <v>167</v>
      </c>
    </row>
    <row r="336" spans="2:51" s="7" customFormat="1" ht="15.75" customHeight="1">
      <c r="B336" s="142"/>
      <c r="C336" s="143"/>
      <c r="D336" s="143"/>
      <c r="E336" s="143"/>
      <c r="F336" s="215" t="s">
        <v>436</v>
      </c>
      <c r="G336" s="216"/>
      <c r="H336" s="216"/>
      <c r="I336" s="216"/>
      <c r="J336" s="143"/>
      <c r="K336" s="144">
        <v>143.6</v>
      </c>
      <c r="L336" s="143"/>
      <c r="M336" s="143"/>
      <c r="N336" s="143"/>
      <c r="O336" s="143"/>
      <c r="P336" s="143"/>
      <c r="Q336" s="143"/>
      <c r="R336" s="145"/>
      <c r="T336" s="146"/>
      <c r="U336" s="143"/>
      <c r="V336" s="143"/>
      <c r="W336" s="143"/>
      <c r="X336" s="143"/>
      <c r="Y336" s="143"/>
      <c r="Z336" s="143"/>
      <c r="AA336" s="147"/>
      <c r="AT336" s="148" t="s">
        <v>169</v>
      </c>
      <c r="AU336" s="148" t="s">
        <v>106</v>
      </c>
      <c r="AV336" s="148" t="s">
        <v>106</v>
      </c>
      <c r="AW336" s="148" t="s">
        <v>114</v>
      </c>
      <c r="AX336" s="148" t="s">
        <v>76</v>
      </c>
      <c r="AY336" s="148" t="s">
        <v>161</v>
      </c>
    </row>
    <row r="337" spans="2:51" s="7" customFormat="1" ht="15.75" customHeight="1">
      <c r="B337" s="142"/>
      <c r="C337" s="143"/>
      <c r="D337" s="143"/>
      <c r="E337" s="143"/>
      <c r="F337" s="215" t="s">
        <v>437</v>
      </c>
      <c r="G337" s="216"/>
      <c r="H337" s="216"/>
      <c r="I337" s="216"/>
      <c r="J337" s="143"/>
      <c r="K337" s="144">
        <v>163.11</v>
      </c>
      <c r="L337" s="143"/>
      <c r="M337" s="143"/>
      <c r="N337" s="143"/>
      <c r="O337" s="143"/>
      <c r="P337" s="143"/>
      <c r="Q337" s="143"/>
      <c r="R337" s="145"/>
      <c r="T337" s="146"/>
      <c r="U337" s="143"/>
      <c r="V337" s="143"/>
      <c r="W337" s="143"/>
      <c r="X337" s="143"/>
      <c r="Y337" s="143"/>
      <c r="Z337" s="143"/>
      <c r="AA337" s="147"/>
      <c r="AT337" s="148" t="s">
        <v>169</v>
      </c>
      <c r="AU337" s="148" t="s">
        <v>106</v>
      </c>
      <c r="AV337" s="148" t="s">
        <v>106</v>
      </c>
      <c r="AW337" s="148" t="s">
        <v>114</v>
      </c>
      <c r="AX337" s="148" t="s">
        <v>76</v>
      </c>
      <c r="AY337" s="148" t="s">
        <v>161</v>
      </c>
    </row>
    <row r="338" spans="2:51" s="7" customFormat="1" ht="15.75" customHeight="1">
      <c r="B338" s="149"/>
      <c r="C338" s="150"/>
      <c r="D338" s="150"/>
      <c r="E338" s="150"/>
      <c r="F338" s="223" t="s">
        <v>178</v>
      </c>
      <c r="G338" s="224"/>
      <c r="H338" s="224"/>
      <c r="I338" s="224"/>
      <c r="J338" s="150"/>
      <c r="K338" s="151">
        <v>306.71</v>
      </c>
      <c r="L338" s="150"/>
      <c r="M338" s="150"/>
      <c r="N338" s="150"/>
      <c r="O338" s="150"/>
      <c r="P338" s="150"/>
      <c r="Q338" s="150"/>
      <c r="R338" s="152"/>
      <c r="T338" s="153"/>
      <c r="U338" s="150"/>
      <c r="V338" s="150"/>
      <c r="W338" s="150"/>
      <c r="X338" s="150"/>
      <c r="Y338" s="150"/>
      <c r="Z338" s="150"/>
      <c r="AA338" s="154"/>
      <c r="AT338" s="155" t="s">
        <v>169</v>
      </c>
      <c r="AU338" s="155" t="s">
        <v>106</v>
      </c>
      <c r="AV338" s="155" t="s">
        <v>167</v>
      </c>
      <c r="AW338" s="155" t="s">
        <v>114</v>
      </c>
      <c r="AX338" s="155" t="s">
        <v>16</v>
      </c>
      <c r="AY338" s="155" t="s">
        <v>161</v>
      </c>
    </row>
    <row r="339" spans="2:64" s="7" customFormat="1" ht="39" customHeight="1">
      <c r="B339" s="23"/>
      <c r="C339" s="135" t="s">
        <v>454</v>
      </c>
      <c r="D339" s="135" t="s">
        <v>163</v>
      </c>
      <c r="E339" s="136" t="s">
        <v>455</v>
      </c>
      <c r="F339" s="217" t="s">
        <v>456</v>
      </c>
      <c r="G339" s="213"/>
      <c r="H339" s="213"/>
      <c r="I339" s="213"/>
      <c r="J339" s="137" t="s">
        <v>214</v>
      </c>
      <c r="K339" s="138">
        <v>144</v>
      </c>
      <c r="L339" s="212">
        <v>0</v>
      </c>
      <c r="M339" s="213"/>
      <c r="N339" s="214">
        <f>ROUND($L$339*$K$339,2)</f>
        <v>0</v>
      </c>
      <c r="O339" s="213"/>
      <c r="P339" s="213"/>
      <c r="Q339" s="213"/>
      <c r="R339" s="25"/>
      <c r="T339" s="139"/>
      <c r="U339" s="31" t="s">
        <v>41</v>
      </c>
      <c r="V339" s="140">
        <v>0.097</v>
      </c>
      <c r="W339" s="140">
        <f>$V$339*$K$339</f>
        <v>13.968</v>
      </c>
      <c r="X339" s="140">
        <v>0</v>
      </c>
      <c r="Y339" s="140">
        <f>$X$339*$K$339</f>
        <v>0</v>
      </c>
      <c r="Z339" s="140">
        <v>0</v>
      </c>
      <c r="AA339" s="141">
        <f>$Z$339*$K$339</f>
        <v>0</v>
      </c>
      <c r="AR339" s="7" t="s">
        <v>167</v>
      </c>
      <c r="AT339" s="7" t="s">
        <v>163</v>
      </c>
      <c r="AU339" s="7" t="s">
        <v>106</v>
      </c>
      <c r="AY339" s="7" t="s">
        <v>161</v>
      </c>
      <c r="BE339" s="89">
        <f>IF($U$339="základní",$N$339,0)</f>
        <v>0</v>
      </c>
      <c r="BF339" s="89">
        <f>IF($U$339="snížená",$N$339,0)</f>
        <v>0</v>
      </c>
      <c r="BG339" s="89">
        <f>IF($U$339="zákl. přenesená",$N$339,0)</f>
        <v>0</v>
      </c>
      <c r="BH339" s="89">
        <f>IF($U$339="sníž. přenesená",$N$339,0)</f>
        <v>0</v>
      </c>
      <c r="BI339" s="89">
        <f>IF($U$339="nulová",$N$339,0)</f>
        <v>0</v>
      </c>
      <c r="BJ339" s="7" t="s">
        <v>16</v>
      </c>
      <c r="BK339" s="89">
        <f>ROUND($L$339*$K$339,2)</f>
        <v>0</v>
      </c>
      <c r="BL339" s="7" t="s">
        <v>167</v>
      </c>
    </row>
    <row r="340" spans="2:51" s="7" customFormat="1" ht="15.75" customHeight="1">
      <c r="B340" s="142"/>
      <c r="C340" s="143"/>
      <c r="D340" s="143"/>
      <c r="E340" s="143"/>
      <c r="F340" s="215" t="s">
        <v>457</v>
      </c>
      <c r="G340" s="216"/>
      <c r="H340" s="216"/>
      <c r="I340" s="216"/>
      <c r="J340" s="143"/>
      <c r="K340" s="144">
        <v>144</v>
      </c>
      <c r="L340" s="143"/>
      <c r="M340" s="143"/>
      <c r="N340" s="143"/>
      <c r="O340" s="143"/>
      <c r="P340" s="143"/>
      <c r="Q340" s="143"/>
      <c r="R340" s="145"/>
      <c r="T340" s="146"/>
      <c r="U340" s="143"/>
      <c r="V340" s="143"/>
      <c r="W340" s="143"/>
      <c r="X340" s="143"/>
      <c r="Y340" s="143"/>
      <c r="Z340" s="143"/>
      <c r="AA340" s="147"/>
      <c r="AT340" s="148" t="s">
        <v>169</v>
      </c>
      <c r="AU340" s="148" t="s">
        <v>106</v>
      </c>
      <c r="AV340" s="148" t="s">
        <v>106</v>
      </c>
      <c r="AW340" s="148" t="s">
        <v>114</v>
      </c>
      <c r="AX340" s="148" t="s">
        <v>16</v>
      </c>
      <c r="AY340" s="148" t="s">
        <v>161</v>
      </c>
    </row>
    <row r="341" spans="2:64" s="7" customFormat="1" ht="27" customHeight="1">
      <c r="B341" s="23"/>
      <c r="C341" s="135" t="s">
        <v>458</v>
      </c>
      <c r="D341" s="135" t="s">
        <v>163</v>
      </c>
      <c r="E341" s="136" t="s">
        <v>459</v>
      </c>
      <c r="F341" s="217" t="s">
        <v>460</v>
      </c>
      <c r="G341" s="213"/>
      <c r="H341" s="213"/>
      <c r="I341" s="213"/>
      <c r="J341" s="137" t="s">
        <v>254</v>
      </c>
      <c r="K341" s="138">
        <v>2</v>
      </c>
      <c r="L341" s="212">
        <v>0</v>
      </c>
      <c r="M341" s="213"/>
      <c r="N341" s="214">
        <f>ROUND($L$341*$K$341,2)</f>
        <v>0</v>
      </c>
      <c r="O341" s="213"/>
      <c r="P341" s="213"/>
      <c r="Q341" s="213"/>
      <c r="R341" s="25"/>
      <c r="T341" s="139"/>
      <c r="U341" s="31" t="s">
        <v>41</v>
      </c>
      <c r="V341" s="140">
        <v>4.65</v>
      </c>
      <c r="W341" s="140">
        <f>$V$341*$K$341</f>
        <v>9.3</v>
      </c>
      <c r="X341" s="140">
        <v>0</v>
      </c>
      <c r="Y341" s="140">
        <f>$X$341*$K$341</f>
        <v>0</v>
      </c>
      <c r="Z341" s="140">
        <v>0</v>
      </c>
      <c r="AA341" s="141">
        <f>$Z$341*$K$341</f>
        <v>0</v>
      </c>
      <c r="AR341" s="7" t="s">
        <v>167</v>
      </c>
      <c r="AT341" s="7" t="s">
        <v>163</v>
      </c>
      <c r="AU341" s="7" t="s">
        <v>106</v>
      </c>
      <c r="AY341" s="7" t="s">
        <v>161</v>
      </c>
      <c r="BE341" s="89">
        <f>IF($U$341="základní",$N$341,0)</f>
        <v>0</v>
      </c>
      <c r="BF341" s="89">
        <f>IF($U$341="snížená",$N$341,0)</f>
        <v>0</v>
      </c>
      <c r="BG341" s="89">
        <f>IF($U$341="zákl. přenesená",$N$341,0)</f>
        <v>0</v>
      </c>
      <c r="BH341" s="89">
        <f>IF($U$341="sníž. přenesená",$N$341,0)</f>
        <v>0</v>
      </c>
      <c r="BI341" s="89">
        <f>IF($U$341="nulová",$N$341,0)</f>
        <v>0</v>
      </c>
      <c r="BJ341" s="7" t="s">
        <v>16</v>
      </c>
      <c r="BK341" s="89">
        <f>ROUND($L$341*$K$341,2)</f>
        <v>0</v>
      </c>
      <c r="BL341" s="7" t="s">
        <v>167</v>
      </c>
    </row>
    <row r="342" spans="2:51" s="7" customFormat="1" ht="15.75" customHeight="1">
      <c r="B342" s="142"/>
      <c r="C342" s="143"/>
      <c r="D342" s="143"/>
      <c r="E342" s="143"/>
      <c r="F342" s="215" t="s">
        <v>461</v>
      </c>
      <c r="G342" s="216"/>
      <c r="H342" s="216"/>
      <c r="I342" s="216"/>
      <c r="J342" s="143"/>
      <c r="K342" s="144">
        <v>2</v>
      </c>
      <c r="L342" s="143"/>
      <c r="M342" s="143"/>
      <c r="N342" s="143"/>
      <c r="O342" s="143"/>
      <c r="P342" s="143"/>
      <c r="Q342" s="143"/>
      <c r="R342" s="145"/>
      <c r="T342" s="146"/>
      <c r="U342" s="143"/>
      <c r="V342" s="143"/>
      <c r="W342" s="143"/>
      <c r="X342" s="143"/>
      <c r="Y342" s="143"/>
      <c r="Z342" s="143"/>
      <c r="AA342" s="147"/>
      <c r="AT342" s="148" t="s">
        <v>169</v>
      </c>
      <c r="AU342" s="148" t="s">
        <v>106</v>
      </c>
      <c r="AV342" s="148" t="s">
        <v>106</v>
      </c>
      <c r="AW342" s="148" t="s">
        <v>114</v>
      </c>
      <c r="AX342" s="148" t="s">
        <v>16</v>
      </c>
      <c r="AY342" s="148" t="s">
        <v>161</v>
      </c>
    </row>
    <row r="343" spans="2:64" s="7" customFormat="1" ht="27" customHeight="1">
      <c r="B343" s="23"/>
      <c r="C343" s="135" t="s">
        <v>462</v>
      </c>
      <c r="D343" s="135" t="s">
        <v>163</v>
      </c>
      <c r="E343" s="136" t="s">
        <v>463</v>
      </c>
      <c r="F343" s="217" t="s">
        <v>464</v>
      </c>
      <c r="G343" s="213"/>
      <c r="H343" s="213"/>
      <c r="I343" s="213"/>
      <c r="J343" s="137" t="s">
        <v>254</v>
      </c>
      <c r="K343" s="138">
        <v>28</v>
      </c>
      <c r="L343" s="212">
        <v>0</v>
      </c>
      <c r="M343" s="213"/>
      <c r="N343" s="214">
        <f>ROUND($L$343*$K$343,2)</f>
        <v>0</v>
      </c>
      <c r="O343" s="213"/>
      <c r="P343" s="213"/>
      <c r="Q343" s="213"/>
      <c r="R343" s="25"/>
      <c r="T343" s="139"/>
      <c r="U343" s="31" t="s">
        <v>41</v>
      </c>
      <c r="V343" s="140">
        <v>0</v>
      </c>
      <c r="W343" s="140">
        <f>$V$343*$K$343</f>
        <v>0</v>
      </c>
      <c r="X343" s="140">
        <v>0</v>
      </c>
      <c r="Y343" s="140">
        <f>$X$343*$K$343</f>
        <v>0</v>
      </c>
      <c r="Z343" s="140">
        <v>0</v>
      </c>
      <c r="AA343" s="141">
        <f>$Z$343*$K$343</f>
        <v>0</v>
      </c>
      <c r="AR343" s="7" t="s">
        <v>167</v>
      </c>
      <c r="AT343" s="7" t="s">
        <v>163</v>
      </c>
      <c r="AU343" s="7" t="s">
        <v>106</v>
      </c>
      <c r="AY343" s="7" t="s">
        <v>161</v>
      </c>
      <c r="BE343" s="89">
        <f>IF($U$343="základní",$N$343,0)</f>
        <v>0</v>
      </c>
      <c r="BF343" s="89">
        <f>IF($U$343="snížená",$N$343,0)</f>
        <v>0</v>
      </c>
      <c r="BG343" s="89">
        <f>IF($U$343="zákl. přenesená",$N$343,0)</f>
        <v>0</v>
      </c>
      <c r="BH343" s="89">
        <f>IF($U$343="sníž. přenesená",$N$343,0)</f>
        <v>0</v>
      </c>
      <c r="BI343" s="89">
        <f>IF($U$343="nulová",$N$343,0)</f>
        <v>0</v>
      </c>
      <c r="BJ343" s="7" t="s">
        <v>16</v>
      </c>
      <c r="BK343" s="89">
        <f>ROUND($L$343*$K$343,2)</f>
        <v>0</v>
      </c>
      <c r="BL343" s="7" t="s">
        <v>167</v>
      </c>
    </row>
    <row r="344" spans="2:51" s="7" customFormat="1" ht="15.75" customHeight="1">
      <c r="B344" s="142"/>
      <c r="C344" s="143"/>
      <c r="D344" s="143"/>
      <c r="E344" s="143"/>
      <c r="F344" s="215" t="s">
        <v>465</v>
      </c>
      <c r="G344" s="216"/>
      <c r="H344" s="216"/>
      <c r="I344" s="216"/>
      <c r="J344" s="143"/>
      <c r="K344" s="144">
        <v>28</v>
      </c>
      <c r="L344" s="143"/>
      <c r="M344" s="143"/>
      <c r="N344" s="143"/>
      <c r="O344" s="143"/>
      <c r="P344" s="143"/>
      <c r="Q344" s="143"/>
      <c r="R344" s="145"/>
      <c r="T344" s="146"/>
      <c r="U344" s="143"/>
      <c r="V344" s="143"/>
      <c r="W344" s="143"/>
      <c r="X344" s="143"/>
      <c r="Y344" s="143"/>
      <c r="Z344" s="143"/>
      <c r="AA344" s="147"/>
      <c r="AT344" s="148" t="s">
        <v>169</v>
      </c>
      <c r="AU344" s="148" t="s">
        <v>106</v>
      </c>
      <c r="AV344" s="148" t="s">
        <v>106</v>
      </c>
      <c r="AW344" s="148" t="s">
        <v>114</v>
      </c>
      <c r="AX344" s="148" t="s">
        <v>16</v>
      </c>
      <c r="AY344" s="148" t="s">
        <v>161</v>
      </c>
    </row>
    <row r="345" spans="2:64" s="7" customFormat="1" ht="27" customHeight="1">
      <c r="B345" s="23"/>
      <c r="C345" s="135" t="s">
        <v>466</v>
      </c>
      <c r="D345" s="135" t="s">
        <v>163</v>
      </c>
      <c r="E345" s="136" t="s">
        <v>467</v>
      </c>
      <c r="F345" s="217" t="s">
        <v>468</v>
      </c>
      <c r="G345" s="213"/>
      <c r="H345" s="213"/>
      <c r="I345" s="213"/>
      <c r="J345" s="137" t="s">
        <v>254</v>
      </c>
      <c r="K345" s="138">
        <v>2</v>
      </c>
      <c r="L345" s="212">
        <v>0</v>
      </c>
      <c r="M345" s="213"/>
      <c r="N345" s="214">
        <f>ROUND($L$345*$K$345,2)</f>
        <v>0</v>
      </c>
      <c r="O345" s="213"/>
      <c r="P345" s="213"/>
      <c r="Q345" s="213"/>
      <c r="R345" s="25"/>
      <c r="T345" s="139"/>
      <c r="U345" s="31" t="s">
        <v>41</v>
      </c>
      <c r="V345" s="140">
        <v>2.632</v>
      </c>
      <c r="W345" s="140">
        <f>$V$345*$K$345</f>
        <v>5.264</v>
      </c>
      <c r="X345" s="140">
        <v>0</v>
      </c>
      <c r="Y345" s="140">
        <f>$X$345*$K$345</f>
        <v>0</v>
      </c>
      <c r="Z345" s="140">
        <v>0</v>
      </c>
      <c r="AA345" s="141">
        <f>$Z$345*$K$345</f>
        <v>0</v>
      </c>
      <c r="AR345" s="7" t="s">
        <v>167</v>
      </c>
      <c r="AT345" s="7" t="s">
        <v>163</v>
      </c>
      <c r="AU345" s="7" t="s">
        <v>106</v>
      </c>
      <c r="AY345" s="7" t="s">
        <v>161</v>
      </c>
      <c r="BE345" s="89">
        <f>IF($U$345="základní",$N$345,0)</f>
        <v>0</v>
      </c>
      <c r="BF345" s="89">
        <f>IF($U$345="snížená",$N$345,0)</f>
        <v>0</v>
      </c>
      <c r="BG345" s="89">
        <f>IF($U$345="zákl. přenesená",$N$345,0)</f>
        <v>0</v>
      </c>
      <c r="BH345" s="89">
        <f>IF($U$345="sníž. přenesená",$N$345,0)</f>
        <v>0</v>
      </c>
      <c r="BI345" s="89">
        <f>IF($U$345="nulová",$N$345,0)</f>
        <v>0</v>
      </c>
      <c r="BJ345" s="7" t="s">
        <v>16</v>
      </c>
      <c r="BK345" s="89">
        <f>ROUND($L$345*$K$345,2)</f>
        <v>0</v>
      </c>
      <c r="BL345" s="7" t="s">
        <v>167</v>
      </c>
    </row>
    <row r="346" spans="2:64" s="7" customFormat="1" ht="27" customHeight="1">
      <c r="B346" s="23"/>
      <c r="C346" s="135" t="s">
        <v>469</v>
      </c>
      <c r="D346" s="135" t="s">
        <v>163</v>
      </c>
      <c r="E346" s="136" t="s">
        <v>470</v>
      </c>
      <c r="F346" s="217" t="s">
        <v>471</v>
      </c>
      <c r="G346" s="213"/>
      <c r="H346" s="213"/>
      <c r="I346" s="213"/>
      <c r="J346" s="137" t="s">
        <v>214</v>
      </c>
      <c r="K346" s="138">
        <v>122.9</v>
      </c>
      <c r="L346" s="212">
        <v>0</v>
      </c>
      <c r="M346" s="213"/>
      <c r="N346" s="214">
        <f>ROUND($L$346*$K$346,2)</f>
        <v>0</v>
      </c>
      <c r="O346" s="213"/>
      <c r="P346" s="213"/>
      <c r="Q346" s="213"/>
      <c r="R346" s="25"/>
      <c r="T346" s="139"/>
      <c r="U346" s="31" t="s">
        <v>41</v>
      </c>
      <c r="V346" s="140">
        <v>0.263</v>
      </c>
      <c r="W346" s="140">
        <f>$V$346*$K$346</f>
        <v>32.322700000000005</v>
      </c>
      <c r="X346" s="140">
        <v>4E-05</v>
      </c>
      <c r="Y346" s="140">
        <f>$X$346*$K$346</f>
        <v>0.004916</v>
      </c>
      <c r="Z346" s="140">
        <v>0</v>
      </c>
      <c r="AA346" s="141">
        <f>$Z$346*$K$346</f>
        <v>0</v>
      </c>
      <c r="AR346" s="7" t="s">
        <v>167</v>
      </c>
      <c r="AT346" s="7" t="s">
        <v>163</v>
      </c>
      <c r="AU346" s="7" t="s">
        <v>106</v>
      </c>
      <c r="AY346" s="7" t="s">
        <v>161</v>
      </c>
      <c r="BE346" s="89">
        <f>IF($U$346="základní",$N$346,0)</f>
        <v>0</v>
      </c>
      <c r="BF346" s="89">
        <f>IF($U$346="snížená",$N$346,0)</f>
        <v>0</v>
      </c>
      <c r="BG346" s="89">
        <f>IF($U$346="zákl. přenesená",$N$346,0)</f>
        <v>0</v>
      </c>
      <c r="BH346" s="89">
        <f>IF($U$346="sníž. přenesená",$N$346,0)</f>
        <v>0</v>
      </c>
      <c r="BI346" s="89">
        <f>IF($U$346="nulová",$N$346,0)</f>
        <v>0</v>
      </c>
      <c r="BJ346" s="7" t="s">
        <v>16</v>
      </c>
      <c r="BK346" s="89">
        <f>ROUND($L$346*$K$346,2)</f>
        <v>0</v>
      </c>
      <c r="BL346" s="7" t="s">
        <v>167</v>
      </c>
    </row>
    <row r="347" spans="2:51" s="7" customFormat="1" ht="15.75" customHeight="1">
      <c r="B347" s="142"/>
      <c r="C347" s="143"/>
      <c r="D347" s="143"/>
      <c r="E347" s="143"/>
      <c r="F347" s="215" t="s">
        <v>404</v>
      </c>
      <c r="G347" s="216"/>
      <c r="H347" s="216"/>
      <c r="I347" s="216"/>
      <c r="J347" s="143"/>
      <c r="K347" s="144">
        <v>122.9</v>
      </c>
      <c r="L347" s="143"/>
      <c r="M347" s="143"/>
      <c r="N347" s="143"/>
      <c r="O347" s="143"/>
      <c r="P347" s="143"/>
      <c r="Q347" s="143"/>
      <c r="R347" s="145"/>
      <c r="T347" s="146"/>
      <c r="U347" s="143"/>
      <c r="V347" s="143"/>
      <c r="W347" s="143"/>
      <c r="X347" s="143"/>
      <c r="Y347" s="143"/>
      <c r="Z347" s="143"/>
      <c r="AA347" s="147"/>
      <c r="AT347" s="148" t="s">
        <v>169</v>
      </c>
      <c r="AU347" s="148" t="s">
        <v>106</v>
      </c>
      <c r="AV347" s="148" t="s">
        <v>106</v>
      </c>
      <c r="AW347" s="148" t="s">
        <v>114</v>
      </c>
      <c r="AX347" s="148" t="s">
        <v>16</v>
      </c>
      <c r="AY347" s="148" t="s">
        <v>161</v>
      </c>
    </row>
    <row r="348" spans="2:64" s="7" customFormat="1" ht="27" customHeight="1">
      <c r="B348" s="23"/>
      <c r="C348" s="135" t="s">
        <v>472</v>
      </c>
      <c r="D348" s="135" t="s">
        <v>163</v>
      </c>
      <c r="E348" s="136" t="s">
        <v>473</v>
      </c>
      <c r="F348" s="217" t="s">
        <v>474</v>
      </c>
      <c r="G348" s="213"/>
      <c r="H348" s="213"/>
      <c r="I348" s="213"/>
      <c r="J348" s="137" t="s">
        <v>254</v>
      </c>
      <c r="K348" s="138">
        <v>2</v>
      </c>
      <c r="L348" s="212">
        <v>0</v>
      </c>
      <c r="M348" s="213"/>
      <c r="N348" s="214">
        <f>ROUND($L$348*$K$348,2)</f>
        <v>0</v>
      </c>
      <c r="O348" s="213"/>
      <c r="P348" s="213"/>
      <c r="Q348" s="213"/>
      <c r="R348" s="25"/>
      <c r="T348" s="139"/>
      <c r="U348" s="31" t="s">
        <v>41</v>
      </c>
      <c r="V348" s="140">
        <v>0.13</v>
      </c>
      <c r="W348" s="140">
        <f>$V$348*$K$348</f>
        <v>0.26</v>
      </c>
      <c r="X348" s="140">
        <v>2E-05</v>
      </c>
      <c r="Y348" s="140">
        <f>$X$348*$K$348</f>
        <v>4E-05</v>
      </c>
      <c r="Z348" s="140">
        <v>0</v>
      </c>
      <c r="AA348" s="141">
        <f>$Z$348*$K$348</f>
        <v>0</v>
      </c>
      <c r="AR348" s="7" t="s">
        <v>167</v>
      </c>
      <c r="AT348" s="7" t="s">
        <v>163</v>
      </c>
      <c r="AU348" s="7" t="s">
        <v>106</v>
      </c>
      <c r="AY348" s="7" t="s">
        <v>161</v>
      </c>
      <c r="BE348" s="89">
        <f>IF($U$348="základní",$N$348,0)</f>
        <v>0</v>
      </c>
      <c r="BF348" s="89">
        <f>IF($U$348="snížená",$N$348,0)</f>
        <v>0</v>
      </c>
      <c r="BG348" s="89">
        <f>IF($U$348="zákl. přenesená",$N$348,0)</f>
        <v>0</v>
      </c>
      <c r="BH348" s="89">
        <f>IF($U$348="sníž. přenesená",$N$348,0)</f>
        <v>0</v>
      </c>
      <c r="BI348" s="89">
        <f>IF($U$348="nulová",$N$348,0)</f>
        <v>0</v>
      </c>
      <c r="BJ348" s="7" t="s">
        <v>16</v>
      </c>
      <c r="BK348" s="89">
        <f>ROUND($L$348*$K$348,2)</f>
        <v>0</v>
      </c>
      <c r="BL348" s="7" t="s">
        <v>167</v>
      </c>
    </row>
    <row r="349" spans="2:47" s="7" customFormat="1" ht="15.75" customHeight="1">
      <c r="B349" s="23"/>
      <c r="C349" s="24"/>
      <c r="D349" s="24"/>
      <c r="E349" s="24"/>
      <c r="F349" s="218" t="s">
        <v>475</v>
      </c>
      <c r="G349" s="170"/>
      <c r="H349" s="170"/>
      <c r="I349" s="170"/>
      <c r="J349" s="24"/>
      <c r="K349" s="24"/>
      <c r="L349" s="24"/>
      <c r="M349" s="24"/>
      <c r="N349" s="24"/>
      <c r="O349" s="24"/>
      <c r="P349" s="24"/>
      <c r="Q349" s="24"/>
      <c r="R349" s="25"/>
      <c r="T349" s="60"/>
      <c r="U349" s="24"/>
      <c r="V349" s="24"/>
      <c r="W349" s="24"/>
      <c r="X349" s="24"/>
      <c r="Y349" s="24"/>
      <c r="Z349" s="24"/>
      <c r="AA349" s="61"/>
      <c r="AT349" s="7" t="s">
        <v>198</v>
      </c>
      <c r="AU349" s="7" t="s">
        <v>106</v>
      </c>
    </row>
    <row r="350" spans="2:64" s="7" customFormat="1" ht="27" customHeight="1">
      <c r="B350" s="23"/>
      <c r="C350" s="135" t="s">
        <v>476</v>
      </c>
      <c r="D350" s="135" t="s">
        <v>163</v>
      </c>
      <c r="E350" s="136" t="s">
        <v>477</v>
      </c>
      <c r="F350" s="217" t="s">
        <v>478</v>
      </c>
      <c r="G350" s="213"/>
      <c r="H350" s="213"/>
      <c r="I350" s="213"/>
      <c r="J350" s="137" t="s">
        <v>166</v>
      </c>
      <c r="K350" s="138">
        <v>3.918</v>
      </c>
      <c r="L350" s="212">
        <v>0</v>
      </c>
      <c r="M350" s="213"/>
      <c r="N350" s="214">
        <f>ROUND($L$350*$K$350,2)</f>
        <v>0</v>
      </c>
      <c r="O350" s="213"/>
      <c r="P350" s="213"/>
      <c r="Q350" s="213"/>
      <c r="R350" s="25"/>
      <c r="T350" s="139"/>
      <c r="U350" s="31" t="s">
        <v>41</v>
      </c>
      <c r="V350" s="140">
        <v>1.52</v>
      </c>
      <c r="W350" s="140">
        <f>$V$350*$K$350</f>
        <v>5.955360000000001</v>
      </c>
      <c r="X350" s="140">
        <v>0</v>
      </c>
      <c r="Y350" s="140">
        <f>$X$350*$K$350</f>
        <v>0</v>
      </c>
      <c r="Z350" s="140">
        <v>1.8</v>
      </c>
      <c r="AA350" s="141">
        <f>$Z$350*$K$350</f>
        <v>7.0524000000000004</v>
      </c>
      <c r="AR350" s="7" t="s">
        <v>167</v>
      </c>
      <c r="AT350" s="7" t="s">
        <v>163</v>
      </c>
      <c r="AU350" s="7" t="s">
        <v>106</v>
      </c>
      <c r="AY350" s="7" t="s">
        <v>161</v>
      </c>
      <c r="BE350" s="89">
        <f>IF($U$350="základní",$N$350,0)</f>
        <v>0</v>
      </c>
      <c r="BF350" s="89">
        <f>IF($U$350="snížená",$N$350,0)</f>
        <v>0</v>
      </c>
      <c r="BG350" s="89">
        <f>IF($U$350="zákl. přenesená",$N$350,0)</f>
        <v>0</v>
      </c>
      <c r="BH350" s="89">
        <f>IF($U$350="sníž. přenesená",$N$350,0)</f>
        <v>0</v>
      </c>
      <c r="BI350" s="89">
        <f>IF($U$350="nulová",$N$350,0)</f>
        <v>0</v>
      </c>
      <c r="BJ350" s="7" t="s">
        <v>16</v>
      </c>
      <c r="BK350" s="89">
        <f>ROUND($L$350*$K$350,2)</f>
        <v>0</v>
      </c>
      <c r="BL350" s="7" t="s">
        <v>167</v>
      </c>
    </row>
    <row r="351" spans="2:51" s="7" customFormat="1" ht="15.75" customHeight="1">
      <c r="B351" s="142"/>
      <c r="C351" s="143"/>
      <c r="D351" s="143"/>
      <c r="E351" s="143"/>
      <c r="F351" s="215" t="s">
        <v>479</v>
      </c>
      <c r="G351" s="216"/>
      <c r="H351" s="216"/>
      <c r="I351" s="216"/>
      <c r="J351" s="143"/>
      <c r="K351" s="144">
        <v>1.033</v>
      </c>
      <c r="L351" s="143"/>
      <c r="M351" s="143"/>
      <c r="N351" s="143"/>
      <c r="O351" s="143"/>
      <c r="P351" s="143"/>
      <c r="Q351" s="143"/>
      <c r="R351" s="145"/>
      <c r="T351" s="146"/>
      <c r="U351" s="143"/>
      <c r="V351" s="143"/>
      <c r="W351" s="143"/>
      <c r="X351" s="143"/>
      <c r="Y351" s="143"/>
      <c r="Z351" s="143"/>
      <c r="AA351" s="147"/>
      <c r="AT351" s="148" t="s">
        <v>169</v>
      </c>
      <c r="AU351" s="148" t="s">
        <v>106</v>
      </c>
      <c r="AV351" s="148" t="s">
        <v>106</v>
      </c>
      <c r="AW351" s="148" t="s">
        <v>114</v>
      </c>
      <c r="AX351" s="148" t="s">
        <v>76</v>
      </c>
      <c r="AY351" s="148" t="s">
        <v>161</v>
      </c>
    </row>
    <row r="352" spans="2:51" s="7" customFormat="1" ht="15.75" customHeight="1">
      <c r="B352" s="142"/>
      <c r="C352" s="143"/>
      <c r="D352" s="143"/>
      <c r="E352" s="143"/>
      <c r="F352" s="215" t="s">
        <v>480</v>
      </c>
      <c r="G352" s="216"/>
      <c r="H352" s="216"/>
      <c r="I352" s="216"/>
      <c r="J352" s="143"/>
      <c r="K352" s="144">
        <v>1.103</v>
      </c>
      <c r="L352" s="143"/>
      <c r="M352" s="143"/>
      <c r="N352" s="143"/>
      <c r="O352" s="143"/>
      <c r="P352" s="143"/>
      <c r="Q352" s="143"/>
      <c r="R352" s="145"/>
      <c r="T352" s="146"/>
      <c r="U352" s="143"/>
      <c r="V352" s="143"/>
      <c r="W352" s="143"/>
      <c r="X352" s="143"/>
      <c r="Y352" s="143"/>
      <c r="Z352" s="143"/>
      <c r="AA352" s="147"/>
      <c r="AT352" s="148" t="s">
        <v>169</v>
      </c>
      <c r="AU352" s="148" t="s">
        <v>106</v>
      </c>
      <c r="AV352" s="148" t="s">
        <v>106</v>
      </c>
      <c r="AW352" s="148" t="s">
        <v>114</v>
      </c>
      <c r="AX352" s="148" t="s">
        <v>76</v>
      </c>
      <c r="AY352" s="148" t="s">
        <v>161</v>
      </c>
    </row>
    <row r="353" spans="2:51" s="7" customFormat="1" ht="15.75" customHeight="1">
      <c r="B353" s="142"/>
      <c r="C353" s="143"/>
      <c r="D353" s="143"/>
      <c r="E353" s="143"/>
      <c r="F353" s="215" t="s">
        <v>481</v>
      </c>
      <c r="G353" s="216"/>
      <c r="H353" s="216"/>
      <c r="I353" s="216"/>
      <c r="J353" s="143"/>
      <c r="K353" s="144">
        <v>1.782</v>
      </c>
      <c r="L353" s="143"/>
      <c r="M353" s="143"/>
      <c r="N353" s="143"/>
      <c r="O353" s="143"/>
      <c r="P353" s="143"/>
      <c r="Q353" s="143"/>
      <c r="R353" s="145"/>
      <c r="T353" s="146"/>
      <c r="U353" s="143"/>
      <c r="V353" s="143"/>
      <c r="W353" s="143"/>
      <c r="X353" s="143"/>
      <c r="Y353" s="143"/>
      <c r="Z353" s="143"/>
      <c r="AA353" s="147"/>
      <c r="AT353" s="148" t="s">
        <v>169</v>
      </c>
      <c r="AU353" s="148" t="s">
        <v>106</v>
      </c>
      <c r="AV353" s="148" t="s">
        <v>106</v>
      </c>
      <c r="AW353" s="148" t="s">
        <v>114</v>
      </c>
      <c r="AX353" s="148" t="s">
        <v>76</v>
      </c>
      <c r="AY353" s="148" t="s">
        <v>161</v>
      </c>
    </row>
    <row r="354" spans="2:51" s="7" customFormat="1" ht="15.75" customHeight="1">
      <c r="B354" s="149"/>
      <c r="C354" s="150"/>
      <c r="D354" s="150"/>
      <c r="E354" s="150"/>
      <c r="F354" s="223" t="s">
        <v>178</v>
      </c>
      <c r="G354" s="224"/>
      <c r="H354" s="224"/>
      <c r="I354" s="224"/>
      <c r="J354" s="150"/>
      <c r="K354" s="151">
        <v>3.918</v>
      </c>
      <c r="L354" s="150"/>
      <c r="M354" s="150"/>
      <c r="N354" s="150"/>
      <c r="O354" s="150"/>
      <c r="P354" s="150"/>
      <c r="Q354" s="150"/>
      <c r="R354" s="152"/>
      <c r="T354" s="153"/>
      <c r="U354" s="150"/>
      <c r="V354" s="150"/>
      <c r="W354" s="150"/>
      <c r="X354" s="150"/>
      <c r="Y354" s="150"/>
      <c r="Z354" s="150"/>
      <c r="AA354" s="154"/>
      <c r="AT354" s="155" t="s">
        <v>169</v>
      </c>
      <c r="AU354" s="155" t="s">
        <v>106</v>
      </c>
      <c r="AV354" s="155" t="s">
        <v>167</v>
      </c>
      <c r="AW354" s="155" t="s">
        <v>114</v>
      </c>
      <c r="AX354" s="155" t="s">
        <v>16</v>
      </c>
      <c r="AY354" s="155" t="s">
        <v>161</v>
      </c>
    </row>
    <row r="355" spans="2:64" s="7" customFormat="1" ht="27" customHeight="1">
      <c r="B355" s="23"/>
      <c r="C355" s="135" t="s">
        <v>482</v>
      </c>
      <c r="D355" s="135" t="s">
        <v>163</v>
      </c>
      <c r="E355" s="136" t="s">
        <v>483</v>
      </c>
      <c r="F355" s="217" t="s">
        <v>484</v>
      </c>
      <c r="G355" s="213"/>
      <c r="H355" s="213"/>
      <c r="I355" s="213"/>
      <c r="J355" s="137" t="s">
        <v>214</v>
      </c>
      <c r="K355" s="138">
        <v>25.336</v>
      </c>
      <c r="L355" s="212">
        <v>0</v>
      </c>
      <c r="M355" s="213"/>
      <c r="N355" s="214">
        <f>ROUND($L$355*$K$355,2)</f>
        <v>0</v>
      </c>
      <c r="O355" s="213"/>
      <c r="P355" s="213"/>
      <c r="Q355" s="213"/>
      <c r="R355" s="25"/>
      <c r="T355" s="139"/>
      <c r="U355" s="31" t="s">
        <v>41</v>
      </c>
      <c r="V355" s="140">
        <v>0.495</v>
      </c>
      <c r="W355" s="140">
        <f>$V$355*$K$355</f>
        <v>12.541319999999999</v>
      </c>
      <c r="X355" s="140">
        <v>0</v>
      </c>
      <c r="Y355" s="140">
        <f>$X$355*$K$355</f>
        <v>0</v>
      </c>
      <c r="Z355" s="140">
        <v>0.558</v>
      </c>
      <c r="AA355" s="141">
        <f>$Z$355*$K$355</f>
        <v>14.137488000000001</v>
      </c>
      <c r="AR355" s="7" t="s">
        <v>167</v>
      </c>
      <c r="AT355" s="7" t="s">
        <v>163</v>
      </c>
      <c r="AU355" s="7" t="s">
        <v>106</v>
      </c>
      <c r="AY355" s="7" t="s">
        <v>161</v>
      </c>
      <c r="BE355" s="89">
        <f>IF($U$355="základní",$N$355,0)</f>
        <v>0</v>
      </c>
      <c r="BF355" s="89">
        <f>IF($U$355="snížená",$N$355,0)</f>
        <v>0</v>
      </c>
      <c r="BG355" s="89">
        <f>IF($U$355="zákl. přenesená",$N$355,0)</f>
        <v>0</v>
      </c>
      <c r="BH355" s="89">
        <f>IF($U$355="sníž. přenesená",$N$355,0)</f>
        <v>0</v>
      </c>
      <c r="BI355" s="89">
        <f>IF($U$355="nulová",$N$355,0)</f>
        <v>0</v>
      </c>
      <c r="BJ355" s="7" t="s">
        <v>16</v>
      </c>
      <c r="BK355" s="89">
        <f>ROUND($L$355*$K$355,2)</f>
        <v>0</v>
      </c>
      <c r="BL355" s="7" t="s">
        <v>167</v>
      </c>
    </row>
    <row r="356" spans="2:51" s="7" customFormat="1" ht="15.75" customHeight="1">
      <c r="B356" s="142"/>
      <c r="C356" s="143"/>
      <c r="D356" s="143"/>
      <c r="E356" s="143"/>
      <c r="F356" s="215" t="s">
        <v>485</v>
      </c>
      <c r="G356" s="216"/>
      <c r="H356" s="216"/>
      <c r="I356" s="216"/>
      <c r="J356" s="143"/>
      <c r="K356" s="144">
        <v>25.336</v>
      </c>
      <c r="L356" s="143"/>
      <c r="M356" s="143"/>
      <c r="N356" s="143"/>
      <c r="O356" s="143"/>
      <c r="P356" s="143"/>
      <c r="Q356" s="143"/>
      <c r="R356" s="145"/>
      <c r="T356" s="146"/>
      <c r="U356" s="143"/>
      <c r="V356" s="143"/>
      <c r="W356" s="143"/>
      <c r="X356" s="143"/>
      <c r="Y356" s="143"/>
      <c r="Z356" s="143"/>
      <c r="AA356" s="147"/>
      <c r="AT356" s="148" t="s">
        <v>169</v>
      </c>
      <c r="AU356" s="148" t="s">
        <v>106</v>
      </c>
      <c r="AV356" s="148" t="s">
        <v>106</v>
      </c>
      <c r="AW356" s="148" t="s">
        <v>114</v>
      </c>
      <c r="AX356" s="148" t="s">
        <v>16</v>
      </c>
      <c r="AY356" s="148" t="s">
        <v>161</v>
      </c>
    </row>
    <row r="357" spans="2:64" s="7" customFormat="1" ht="39" customHeight="1">
      <c r="B357" s="23"/>
      <c r="C357" s="135" t="s">
        <v>204</v>
      </c>
      <c r="D357" s="135" t="s">
        <v>163</v>
      </c>
      <c r="E357" s="136" t="s">
        <v>486</v>
      </c>
      <c r="F357" s="217" t="s">
        <v>487</v>
      </c>
      <c r="G357" s="213"/>
      <c r="H357" s="213"/>
      <c r="I357" s="213"/>
      <c r="J357" s="137" t="s">
        <v>166</v>
      </c>
      <c r="K357" s="138">
        <v>0.641</v>
      </c>
      <c r="L357" s="212">
        <v>0</v>
      </c>
      <c r="M357" s="213"/>
      <c r="N357" s="214">
        <f>ROUND($L$357*$K$357,2)</f>
        <v>0</v>
      </c>
      <c r="O357" s="213"/>
      <c r="P357" s="213"/>
      <c r="Q357" s="213"/>
      <c r="R357" s="25"/>
      <c r="T357" s="139"/>
      <c r="U357" s="31" t="s">
        <v>41</v>
      </c>
      <c r="V357" s="140">
        <v>9.07</v>
      </c>
      <c r="W357" s="140">
        <f>$V$357*$K$357</f>
        <v>5.8138700000000005</v>
      </c>
      <c r="X357" s="140">
        <v>0</v>
      </c>
      <c r="Y357" s="140">
        <f>$X$357*$K$357</f>
        <v>0</v>
      </c>
      <c r="Z357" s="140">
        <v>2.2</v>
      </c>
      <c r="AA357" s="141">
        <f>$Z$357*$K$357</f>
        <v>1.4102000000000001</v>
      </c>
      <c r="AR357" s="7" t="s">
        <v>167</v>
      </c>
      <c r="AT357" s="7" t="s">
        <v>163</v>
      </c>
      <c r="AU357" s="7" t="s">
        <v>106</v>
      </c>
      <c r="AY357" s="7" t="s">
        <v>161</v>
      </c>
      <c r="BE357" s="89">
        <f>IF($U$357="základní",$N$357,0)</f>
        <v>0</v>
      </c>
      <c r="BF357" s="89">
        <f>IF($U$357="snížená",$N$357,0)</f>
        <v>0</v>
      </c>
      <c r="BG357" s="89">
        <f>IF($U$357="zákl. přenesená",$N$357,0)</f>
        <v>0</v>
      </c>
      <c r="BH357" s="89">
        <f>IF($U$357="sníž. přenesená",$N$357,0)</f>
        <v>0</v>
      </c>
      <c r="BI357" s="89">
        <f>IF($U$357="nulová",$N$357,0)</f>
        <v>0</v>
      </c>
      <c r="BJ357" s="7" t="s">
        <v>16</v>
      </c>
      <c r="BK357" s="89">
        <f>ROUND($L$357*$K$357,2)</f>
        <v>0</v>
      </c>
      <c r="BL357" s="7" t="s">
        <v>167</v>
      </c>
    </row>
    <row r="358" spans="2:51" s="7" customFormat="1" ht="15.75" customHeight="1">
      <c r="B358" s="142"/>
      <c r="C358" s="143"/>
      <c r="D358" s="143"/>
      <c r="E358" s="143"/>
      <c r="F358" s="215" t="s">
        <v>488</v>
      </c>
      <c r="G358" s="216"/>
      <c r="H358" s="216"/>
      <c r="I358" s="216"/>
      <c r="J358" s="143"/>
      <c r="K358" s="144">
        <v>0.557</v>
      </c>
      <c r="L358" s="143"/>
      <c r="M358" s="143"/>
      <c r="N358" s="143"/>
      <c r="O358" s="143"/>
      <c r="P358" s="143"/>
      <c r="Q358" s="143"/>
      <c r="R358" s="145"/>
      <c r="T358" s="146"/>
      <c r="U358" s="143"/>
      <c r="V358" s="143"/>
      <c r="W358" s="143"/>
      <c r="X358" s="143"/>
      <c r="Y358" s="143"/>
      <c r="Z358" s="143"/>
      <c r="AA358" s="147"/>
      <c r="AT358" s="148" t="s">
        <v>169</v>
      </c>
      <c r="AU358" s="148" t="s">
        <v>106</v>
      </c>
      <c r="AV358" s="148" t="s">
        <v>106</v>
      </c>
      <c r="AW358" s="148" t="s">
        <v>114</v>
      </c>
      <c r="AX358" s="148" t="s">
        <v>76</v>
      </c>
      <c r="AY358" s="148" t="s">
        <v>161</v>
      </c>
    </row>
    <row r="359" spans="2:51" s="7" customFormat="1" ht="15.75" customHeight="1">
      <c r="B359" s="142"/>
      <c r="C359" s="143"/>
      <c r="D359" s="143"/>
      <c r="E359" s="143"/>
      <c r="F359" s="215" t="s">
        <v>489</v>
      </c>
      <c r="G359" s="216"/>
      <c r="H359" s="216"/>
      <c r="I359" s="216"/>
      <c r="J359" s="143"/>
      <c r="K359" s="144">
        <v>0.084</v>
      </c>
      <c r="L359" s="143"/>
      <c r="M359" s="143"/>
      <c r="N359" s="143"/>
      <c r="O359" s="143"/>
      <c r="P359" s="143"/>
      <c r="Q359" s="143"/>
      <c r="R359" s="145"/>
      <c r="T359" s="146"/>
      <c r="U359" s="143"/>
      <c r="V359" s="143"/>
      <c r="W359" s="143"/>
      <c r="X359" s="143"/>
      <c r="Y359" s="143"/>
      <c r="Z359" s="143"/>
      <c r="AA359" s="147"/>
      <c r="AT359" s="148" t="s">
        <v>169</v>
      </c>
      <c r="AU359" s="148" t="s">
        <v>106</v>
      </c>
      <c r="AV359" s="148" t="s">
        <v>106</v>
      </c>
      <c r="AW359" s="148" t="s">
        <v>114</v>
      </c>
      <c r="AX359" s="148" t="s">
        <v>76</v>
      </c>
      <c r="AY359" s="148" t="s">
        <v>161</v>
      </c>
    </row>
    <row r="360" spans="2:51" s="7" customFormat="1" ht="15.75" customHeight="1">
      <c r="B360" s="149"/>
      <c r="C360" s="150"/>
      <c r="D360" s="150"/>
      <c r="E360" s="150"/>
      <c r="F360" s="223" t="s">
        <v>178</v>
      </c>
      <c r="G360" s="224"/>
      <c r="H360" s="224"/>
      <c r="I360" s="224"/>
      <c r="J360" s="150"/>
      <c r="K360" s="151">
        <v>0.641</v>
      </c>
      <c r="L360" s="150"/>
      <c r="M360" s="150"/>
      <c r="N360" s="150"/>
      <c r="O360" s="150"/>
      <c r="P360" s="150"/>
      <c r="Q360" s="150"/>
      <c r="R360" s="152"/>
      <c r="T360" s="153"/>
      <c r="U360" s="150"/>
      <c r="V360" s="150"/>
      <c r="W360" s="150"/>
      <c r="X360" s="150"/>
      <c r="Y360" s="150"/>
      <c r="Z360" s="150"/>
      <c r="AA360" s="154"/>
      <c r="AT360" s="155" t="s">
        <v>169</v>
      </c>
      <c r="AU360" s="155" t="s">
        <v>106</v>
      </c>
      <c r="AV360" s="155" t="s">
        <v>167</v>
      </c>
      <c r="AW360" s="155" t="s">
        <v>114</v>
      </c>
      <c r="AX360" s="155" t="s">
        <v>16</v>
      </c>
      <c r="AY360" s="155" t="s">
        <v>161</v>
      </c>
    </row>
    <row r="361" spans="2:64" s="7" customFormat="1" ht="27" customHeight="1">
      <c r="B361" s="23"/>
      <c r="C361" s="135" t="s">
        <v>490</v>
      </c>
      <c r="D361" s="135" t="s">
        <v>163</v>
      </c>
      <c r="E361" s="136" t="s">
        <v>491</v>
      </c>
      <c r="F361" s="217" t="s">
        <v>492</v>
      </c>
      <c r="G361" s="213"/>
      <c r="H361" s="213"/>
      <c r="I361" s="213"/>
      <c r="J361" s="137" t="s">
        <v>214</v>
      </c>
      <c r="K361" s="138">
        <v>2.145</v>
      </c>
      <c r="L361" s="212">
        <v>0</v>
      </c>
      <c r="M361" s="213"/>
      <c r="N361" s="214">
        <f>ROUND($L$361*$K$361,2)</f>
        <v>0</v>
      </c>
      <c r="O361" s="213"/>
      <c r="P361" s="213"/>
      <c r="Q361" s="213"/>
      <c r="R361" s="25"/>
      <c r="T361" s="139"/>
      <c r="U361" s="31" t="s">
        <v>41</v>
      </c>
      <c r="V361" s="140">
        <v>0.576</v>
      </c>
      <c r="W361" s="140">
        <f>$V$361*$K$361</f>
        <v>1.23552</v>
      </c>
      <c r="X361" s="140">
        <v>0</v>
      </c>
      <c r="Y361" s="140">
        <f>$X$361*$K$361</f>
        <v>0</v>
      </c>
      <c r="Z361" s="140">
        <v>0.067</v>
      </c>
      <c r="AA361" s="141">
        <f>$Z$361*$K$361</f>
        <v>0.143715</v>
      </c>
      <c r="AR361" s="7" t="s">
        <v>167</v>
      </c>
      <c r="AT361" s="7" t="s">
        <v>163</v>
      </c>
      <c r="AU361" s="7" t="s">
        <v>106</v>
      </c>
      <c r="AY361" s="7" t="s">
        <v>161</v>
      </c>
      <c r="BE361" s="89">
        <f>IF($U$361="základní",$N$361,0)</f>
        <v>0</v>
      </c>
      <c r="BF361" s="89">
        <f>IF($U$361="snížená",$N$361,0)</f>
        <v>0</v>
      </c>
      <c r="BG361" s="89">
        <f>IF($U$361="zákl. přenesená",$N$361,0)</f>
        <v>0</v>
      </c>
      <c r="BH361" s="89">
        <f>IF($U$361="sníž. přenesená",$N$361,0)</f>
        <v>0</v>
      </c>
      <c r="BI361" s="89">
        <f>IF($U$361="nulová",$N$361,0)</f>
        <v>0</v>
      </c>
      <c r="BJ361" s="7" t="s">
        <v>16</v>
      </c>
      <c r="BK361" s="89">
        <f>ROUND($L$361*$K$361,2)</f>
        <v>0</v>
      </c>
      <c r="BL361" s="7" t="s">
        <v>167</v>
      </c>
    </row>
    <row r="362" spans="2:51" s="7" customFormat="1" ht="15.75" customHeight="1">
      <c r="B362" s="142"/>
      <c r="C362" s="143"/>
      <c r="D362" s="143"/>
      <c r="E362" s="143"/>
      <c r="F362" s="215" t="s">
        <v>493</v>
      </c>
      <c r="G362" s="216"/>
      <c r="H362" s="216"/>
      <c r="I362" s="216"/>
      <c r="J362" s="143"/>
      <c r="K362" s="144">
        <v>2.145</v>
      </c>
      <c r="L362" s="143"/>
      <c r="M362" s="143"/>
      <c r="N362" s="143"/>
      <c r="O362" s="143"/>
      <c r="P362" s="143"/>
      <c r="Q362" s="143"/>
      <c r="R362" s="145"/>
      <c r="T362" s="146"/>
      <c r="U362" s="143"/>
      <c r="V362" s="143"/>
      <c r="W362" s="143"/>
      <c r="X362" s="143"/>
      <c r="Y362" s="143"/>
      <c r="Z362" s="143"/>
      <c r="AA362" s="147"/>
      <c r="AT362" s="148" t="s">
        <v>169</v>
      </c>
      <c r="AU362" s="148" t="s">
        <v>106</v>
      </c>
      <c r="AV362" s="148" t="s">
        <v>106</v>
      </c>
      <c r="AW362" s="148" t="s">
        <v>114</v>
      </c>
      <c r="AX362" s="148" t="s">
        <v>16</v>
      </c>
      <c r="AY362" s="148" t="s">
        <v>161</v>
      </c>
    </row>
    <row r="363" spans="2:64" s="7" customFormat="1" ht="27" customHeight="1">
      <c r="B363" s="23"/>
      <c r="C363" s="135" t="s">
        <v>494</v>
      </c>
      <c r="D363" s="135" t="s">
        <v>163</v>
      </c>
      <c r="E363" s="136" t="s">
        <v>495</v>
      </c>
      <c r="F363" s="217" t="s">
        <v>496</v>
      </c>
      <c r="G363" s="213"/>
      <c r="H363" s="213"/>
      <c r="I363" s="213"/>
      <c r="J363" s="137" t="s">
        <v>254</v>
      </c>
      <c r="K363" s="138">
        <v>11</v>
      </c>
      <c r="L363" s="212">
        <v>0</v>
      </c>
      <c r="M363" s="213"/>
      <c r="N363" s="214">
        <f>ROUND($L$363*$K$363,2)</f>
        <v>0</v>
      </c>
      <c r="O363" s="213"/>
      <c r="P363" s="213"/>
      <c r="Q363" s="213"/>
      <c r="R363" s="25"/>
      <c r="T363" s="139"/>
      <c r="U363" s="31" t="s">
        <v>41</v>
      </c>
      <c r="V363" s="140">
        <v>0.772</v>
      </c>
      <c r="W363" s="140">
        <f>$V$363*$K$363</f>
        <v>8.492</v>
      </c>
      <c r="X363" s="140">
        <v>0</v>
      </c>
      <c r="Y363" s="140">
        <f>$X$363*$K$363</f>
        <v>0</v>
      </c>
      <c r="Z363" s="140">
        <v>0.031</v>
      </c>
      <c r="AA363" s="141">
        <f>$Z$363*$K$363</f>
        <v>0.34099999999999997</v>
      </c>
      <c r="AR363" s="7" t="s">
        <v>167</v>
      </c>
      <c r="AT363" s="7" t="s">
        <v>163</v>
      </c>
      <c r="AU363" s="7" t="s">
        <v>106</v>
      </c>
      <c r="AY363" s="7" t="s">
        <v>161</v>
      </c>
      <c r="BE363" s="89">
        <f>IF($U$363="základní",$N$363,0)</f>
        <v>0</v>
      </c>
      <c r="BF363" s="89">
        <f>IF($U$363="snížená",$N$363,0)</f>
        <v>0</v>
      </c>
      <c r="BG363" s="89">
        <f>IF($U$363="zákl. přenesená",$N$363,0)</f>
        <v>0</v>
      </c>
      <c r="BH363" s="89">
        <f>IF($U$363="sníž. přenesená",$N$363,0)</f>
        <v>0</v>
      </c>
      <c r="BI363" s="89">
        <f>IF($U$363="nulová",$N$363,0)</f>
        <v>0</v>
      </c>
      <c r="BJ363" s="7" t="s">
        <v>16</v>
      </c>
      <c r="BK363" s="89">
        <f>ROUND($L$363*$K$363,2)</f>
        <v>0</v>
      </c>
      <c r="BL363" s="7" t="s">
        <v>167</v>
      </c>
    </row>
    <row r="364" spans="2:51" s="7" customFormat="1" ht="15.75" customHeight="1">
      <c r="B364" s="142"/>
      <c r="C364" s="143"/>
      <c r="D364" s="143"/>
      <c r="E364" s="143"/>
      <c r="F364" s="215" t="s">
        <v>497</v>
      </c>
      <c r="G364" s="216"/>
      <c r="H364" s="216"/>
      <c r="I364" s="216"/>
      <c r="J364" s="143"/>
      <c r="K364" s="144">
        <v>11</v>
      </c>
      <c r="L364" s="143"/>
      <c r="M364" s="143"/>
      <c r="N364" s="143"/>
      <c r="O364" s="143"/>
      <c r="P364" s="143"/>
      <c r="Q364" s="143"/>
      <c r="R364" s="145"/>
      <c r="T364" s="146"/>
      <c r="U364" s="143"/>
      <c r="V364" s="143"/>
      <c r="W364" s="143"/>
      <c r="X364" s="143"/>
      <c r="Y364" s="143"/>
      <c r="Z364" s="143"/>
      <c r="AA364" s="147"/>
      <c r="AT364" s="148" t="s">
        <v>169</v>
      </c>
      <c r="AU364" s="148" t="s">
        <v>106</v>
      </c>
      <c r="AV364" s="148" t="s">
        <v>106</v>
      </c>
      <c r="AW364" s="148" t="s">
        <v>114</v>
      </c>
      <c r="AX364" s="148" t="s">
        <v>16</v>
      </c>
      <c r="AY364" s="148" t="s">
        <v>161</v>
      </c>
    </row>
    <row r="365" spans="2:64" s="7" customFormat="1" ht="27" customHeight="1">
      <c r="B365" s="23"/>
      <c r="C365" s="135" t="s">
        <v>498</v>
      </c>
      <c r="D365" s="135" t="s">
        <v>163</v>
      </c>
      <c r="E365" s="136" t="s">
        <v>499</v>
      </c>
      <c r="F365" s="217" t="s">
        <v>500</v>
      </c>
      <c r="G365" s="213"/>
      <c r="H365" s="213"/>
      <c r="I365" s="213"/>
      <c r="J365" s="137" t="s">
        <v>268</v>
      </c>
      <c r="K365" s="138">
        <v>11.4</v>
      </c>
      <c r="L365" s="212">
        <v>0</v>
      </c>
      <c r="M365" s="213"/>
      <c r="N365" s="214">
        <f>ROUND($L$365*$K$365,2)</f>
        <v>0</v>
      </c>
      <c r="O365" s="213"/>
      <c r="P365" s="213"/>
      <c r="Q365" s="213"/>
      <c r="R365" s="25"/>
      <c r="T365" s="139"/>
      <c r="U365" s="31" t="s">
        <v>41</v>
      </c>
      <c r="V365" s="140">
        <v>1.284</v>
      </c>
      <c r="W365" s="140">
        <f>$V$365*$K$365</f>
        <v>14.6376</v>
      </c>
      <c r="X365" s="140">
        <v>0</v>
      </c>
      <c r="Y365" s="140">
        <f>$X$365*$K$365</f>
        <v>0</v>
      </c>
      <c r="Z365" s="140">
        <v>0.012</v>
      </c>
      <c r="AA365" s="141">
        <f>$Z$365*$K$365</f>
        <v>0.1368</v>
      </c>
      <c r="AR365" s="7" t="s">
        <v>167</v>
      </c>
      <c r="AT365" s="7" t="s">
        <v>163</v>
      </c>
      <c r="AU365" s="7" t="s">
        <v>106</v>
      </c>
      <c r="AY365" s="7" t="s">
        <v>161</v>
      </c>
      <c r="BE365" s="89">
        <f>IF($U$365="základní",$N$365,0)</f>
        <v>0</v>
      </c>
      <c r="BF365" s="89">
        <f>IF($U$365="snížená",$N$365,0)</f>
        <v>0</v>
      </c>
      <c r="BG365" s="89">
        <f>IF($U$365="zákl. přenesená",$N$365,0)</f>
        <v>0</v>
      </c>
      <c r="BH365" s="89">
        <f>IF($U$365="sníž. přenesená",$N$365,0)</f>
        <v>0</v>
      </c>
      <c r="BI365" s="89">
        <f>IF($U$365="nulová",$N$365,0)</f>
        <v>0</v>
      </c>
      <c r="BJ365" s="7" t="s">
        <v>16</v>
      </c>
      <c r="BK365" s="89">
        <f>ROUND($L$365*$K$365,2)</f>
        <v>0</v>
      </c>
      <c r="BL365" s="7" t="s">
        <v>167</v>
      </c>
    </row>
    <row r="366" spans="2:51" s="7" customFormat="1" ht="15.75" customHeight="1">
      <c r="B366" s="142"/>
      <c r="C366" s="143"/>
      <c r="D366" s="143"/>
      <c r="E366" s="143"/>
      <c r="F366" s="215" t="s">
        <v>501</v>
      </c>
      <c r="G366" s="216"/>
      <c r="H366" s="216"/>
      <c r="I366" s="216"/>
      <c r="J366" s="143"/>
      <c r="K366" s="144">
        <v>11.4</v>
      </c>
      <c r="L366" s="143"/>
      <c r="M366" s="143"/>
      <c r="N366" s="143"/>
      <c r="O366" s="143"/>
      <c r="P366" s="143"/>
      <c r="Q366" s="143"/>
      <c r="R366" s="145"/>
      <c r="T366" s="146"/>
      <c r="U366" s="143"/>
      <c r="V366" s="143"/>
      <c r="W366" s="143"/>
      <c r="X366" s="143"/>
      <c r="Y366" s="143"/>
      <c r="Z366" s="143"/>
      <c r="AA366" s="147"/>
      <c r="AT366" s="148" t="s">
        <v>169</v>
      </c>
      <c r="AU366" s="148" t="s">
        <v>106</v>
      </c>
      <c r="AV366" s="148" t="s">
        <v>106</v>
      </c>
      <c r="AW366" s="148" t="s">
        <v>114</v>
      </c>
      <c r="AX366" s="148" t="s">
        <v>16</v>
      </c>
      <c r="AY366" s="148" t="s">
        <v>161</v>
      </c>
    </row>
    <row r="367" spans="2:64" s="7" customFormat="1" ht="27" customHeight="1">
      <c r="B367" s="23"/>
      <c r="C367" s="135" t="s">
        <v>502</v>
      </c>
      <c r="D367" s="135" t="s">
        <v>163</v>
      </c>
      <c r="E367" s="136" t="s">
        <v>503</v>
      </c>
      <c r="F367" s="217" t="s">
        <v>504</v>
      </c>
      <c r="G367" s="213"/>
      <c r="H367" s="213"/>
      <c r="I367" s="213"/>
      <c r="J367" s="137" t="s">
        <v>268</v>
      </c>
      <c r="K367" s="138">
        <v>26.4</v>
      </c>
      <c r="L367" s="212">
        <v>0</v>
      </c>
      <c r="M367" s="213"/>
      <c r="N367" s="214">
        <f>ROUND($L$367*$K$367,2)</f>
        <v>0</v>
      </c>
      <c r="O367" s="213"/>
      <c r="P367" s="213"/>
      <c r="Q367" s="213"/>
      <c r="R367" s="25"/>
      <c r="T367" s="139"/>
      <c r="U367" s="31" t="s">
        <v>41</v>
      </c>
      <c r="V367" s="140">
        <v>1.503</v>
      </c>
      <c r="W367" s="140">
        <f>$V$367*$K$367</f>
        <v>39.679199999999994</v>
      </c>
      <c r="X367" s="140">
        <v>0</v>
      </c>
      <c r="Y367" s="140">
        <f>$X$367*$K$367</f>
        <v>0</v>
      </c>
      <c r="Z367" s="140">
        <v>0.02</v>
      </c>
      <c r="AA367" s="141">
        <f>$Z$367*$K$367</f>
        <v>0.528</v>
      </c>
      <c r="AR367" s="7" t="s">
        <v>167</v>
      </c>
      <c r="AT367" s="7" t="s">
        <v>163</v>
      </c>
      <c r="AU367" s="7" t="s">
        <v>106</v>
      </c>
      <c r="AY367" s="7" t="s">
        <v>161</v>
      </c>
      <c r="BE367" s="89">
        <f>IF($U$367="základní",$N$367,0)</f>
        <v>0</v>
      </c>
      <c r="BF367" s="89">
        <f>IF($U$367="snížená",$N$367,0)</f>
        <v>0</v>
      </c>
      <c r="BG367" s="89">
        <f>IF($U$367="zákl. přenesená",$N$367,0)</f>
        <v>0</v>
      </c>
      <c r="BH367" s="89">
        <f>IF($U$367="sníž. přenesená",$N$367,0)</f>
        <v>0</v>
      </c>
      <c r="BI367" s="89">
        <f>IF($U$367="nulová",$N$367,0)</f>
        <v>0</v>
      </c>
      <c r="BJ367" s="7" t="s">
        <v>16</v>
      </c>
      <c r="BK367" s="89">
        <f>ROUND($L$367*$K$367,2)</f>
        <v>0</v>
      </c>
      <c r="BL367" s="7" t="s">
        <v>167</v>
      </c>
    </row>
    <row r="368" spans="2:51" s="7" customFormat="1" ht="15.75" customHeight="1">
      <c r="B368" s="142"/>
      <c r="C368" s="143"/>
      <c r="D368" s="143"/>
      <c r="E368" s="143"/>
      <c r="F368" s="215" t="s">
        <v>505</v>
      </c>
      <c r="G368" s="216"/>
      <c r="H368" s="216"/>
      <c r="I368" s="216"/>
      <c r="J368" s="143"/>
      <c r="K368" s="144">
        <v>26.4</v>
      </c>
      <c r="L368" s="143"/>
      <c r="M368" s="143"/>
      <c r="N368" s="143"/>
      <c r="O368" s="143"/>
      <c r="P368" s="143"/>
      <c r="Q368" s="143"/>
      <c r="R368" s="145"/>
      <c r="T368" s="146"/>
      <c r="U368" s="143"/>
      <c r="V368" s="143"/>
      <c r="W368" s="143"/>
      <c r="X368" s="143"/>
      <c r="Y368" s="143"/>
      <c r="Z368" s="143"/>
      <c r="AA368" s="147"/>
      <c r="AT368" s="148" t="s">
        <v>169</v>
      </c>
      <c r="AU368" s="148" t="s">
        <v>106</v>
      </c>
      <c r="AV368" s="148" t="s">
        <v>106</v>
      </c>
      <c r="AW368" s="148" t="s">
        <v>114</v>
      </c>
      <c r="AX368" s="148" t="s">
        <v>16</v>
      </c>
      <c r="AY368" s="148" t="s">
        <v>161</v>
      </c>
    </row>
    <row r="369" spans="2:64" s="7" customFormat="1" ht="27" customHeight="1">
      <c r="B369" s="23"/>
      <c r="C369" s="135" t="s">
        <v>506</v>
      </c>
      <c r="D369" s="135" t="s">
        <v>163</v>
      </c>
      <c r="E369" s="136" t="s">
        <v>507</v>
      </c>
      <c r="F369" s="217" t="s">
        <v>508</v>
      </c>
      <c r="G369" s="213"/>
      <c r="H369" s="213"/>
      <c r="I369" s="213"/>
      <c r="J369" s="137" t="s">
        <v>268</v>
      </c>
      <c r="K369" s="138">
        <v>3.51</v>
      </c>
      <c r="L369" s="212">
        <v>0</v>
      </c>
      <c r="M369" s="213"/>
      <c r="N369" s="214">
        <f>ROUND($L$369*$K$369,2)</f>
        <v>0</v>
      </c>
      <c r="O369" s="213"/>
      <c r="P369" s="213"/>
      <c r="Q369" s="213"/>
      <c r="R369" s="25"/>
      <c r="T369" s="139"/>
      <c r="U369" s="31" t="s">
        <v>41</v>
      </c>
      <c r="V369" s="140">
        <v>0.812</v>
      </c>
      <c r="W369" s="140">
        <f>$V$369*$K$369</f>
        <v>2.85012</v>
      </c>
      <c r="X369" s="140">
        <v>0</v>
      </c>
      <c r="Y369" s="140">
        <f>$X$369*$K$369</f>
        <v>0</v>
      </c>
      <c r="Z369" s="140">
        <v>0.081</v>
      </c>
      <c r="AA369" s="141">
        <f>$Z$369*$K$369</f>
        <v>0.28431</v>
      </c>
      <c r="AR369" s="7" t="s">
        <v>167</v>
      </c>
      <c r="AT369" s="7" t="s">
        <v>163</v>
      </c>
      <c r="AU369" s="7" t="s">
        <v>106</v>
      </c>
      <c r="AY369" s="7" t="s">
        <v>161</v>
      </c>
      <c r="BE369" s="89">
        <f>IF($U$369="základní",$N$369,0)</f>
        <v>0</v>
      </c>
      <c r="BF369" s="89">
        <f>IF($U$369="snížená",$N$369,0)</f>
        <v>0</v>
      </c>
      <c r="BG369" s="89">
        <f>IF($U$369="zákl. přenesená",$N$369,0)</f>
        <v>0</v>
      </c>
      <c r="BH369" s="89">
        <f>IF($U$369="sníž. přenesená",$N$369,0)</f>
        <v>0</v>
      </c>
      <c r="BI369" s="89">
        <f>IF($U$369="nulová",$N$369,0)</f>
        <v>0</v>
      </c>
      <c r="BJ369" s="7" t="s">
        <v>16</v>
      </c>
      <c r="BK369" s="89">
        <f>ROUND($L$369*$K$369,2)</f>
        <v>0</v>
      </c>
      <c r="BL369" s="7" t="s">
        <v>167</v>
      </c>
    </row>
    <row r="370" spans="2:51" s="7" customFormat="1" ht="15.75" customHeight="1">
      <c r="B370" s="142"/>
      <c r="C370" s="143"/>
      <c r="D370" s="143"/>
      <c r="E370" s="143"/>
      <c r="F370" s="215" t="s">
        <v>509</v>
      </c>
      <c r="G370" s="216"/>
      <c r="H370" s="216"/>
      <c r="I370" s="216"/>
      <c r="J370" s="143"/>
      <c r="K370" s="144">
        <v>3.51</v>
      </c>
      <c r="L370" s="143"/>
      <c r="M370" s="143"/>
      <c r="N370" s="143"/>
      <c r="O370" s="143"/>
      <c r="P370" s="143"/>
      <c r="Q370" s="143"/>
      <c r="R370" s="145"/>
      <c r="T370" s="146"/>
      <c r="U370" s="143"/>
      <c r="V370" s="143"/>
      <c r="W370" s="143"/>
      <c r="X370" s="143"/>
      <c r="Y370" s="143"/>
      <c r="Z370" s="143"/>
      <c r="AA370" s="147"/>
      <c r="AT370" s="148" t="s">
        <v>169</v>
      </c>
      <c r="AU370" s="148" t="s">
        <v>106</v>
      </c>
      <c r="AV370" s="148" t="s">
        <v>106</v>
      </c>
      <c r="AW370" s="148" t="s">
        <v>114</v>
      </c>
      <c r="AX370" s="148" t="s">
        <v>16</v>
      </c>
      <c r="AY370" s="148" t="s">
        <v>161</v>
      </c>
    </row>
    <row r="371" spans="2:64" s="7" customFormat="1" ht="27" customHeight="1">
      <c r="B371" s="23"/>
      <c r="C371" s="135" t="s">
        <v>510</v>
      </c>
      <c r="D371" s="135" t="s">
        <v>163</v>
      </c>
      <c r="E371" s="136" t="s">
        <v>511</v>
      </c>
      <c r="F371" s="217" t="s">
        <v>512</v>
      </c>
      <c r="G371" s="213"/>
      <c r="H371" s="213"/>
      <c r="I371" s="213"/>
      <c r="J371" s="137" t="s">
        <v>214</v>
      </c>
      <c r="K371" s="138">
        <v>129.995</v>
      </c>
      <c r="L371" s="212">
        <v>0</v>
      </c>
      <c r="M371" s="213"/>
      <c r="N371" s="214">
        <f>ROUND($L$371*$K$371,2)</f>
        <v>0</v>
      </c>
      <c r="O371" s="213"/>
      <c r="P371" s="213"/>
      <c r="Q371" s="213"/>
      <c r="R371" s="25"/>
      <c r="T371" s="139"/>
      <c r="U371" s="31" t="s">
        <v>41</v>
      </c>
      <c r="V371" s="140">
        <v>0.22</v>
      </c>
      <c r="W371" s="140">
        <f>$V$371*$K$371</f>
        <v>28.5989</v>
      </c>
      <c r="X371" s="140">
        <v>0</v>
      </c>
      <c r="Y371" s="140">
        <f>$X$371*$K$371</f>
        <v>0</v>
      </c>
      <c r="Z371" s="140">
        <v>0.059</v>
      </c>
      <c r="AA371" s="141">
        <f>$Z$371*$K$371</f>
        <v>7.6697049999999996</v>
      </c>
      <c r="AR371" s="7" t="s">
        <v>167</v>
      </c>
      <c r="AT371" s="7" t="s">
        <v>163</v>
      </c>
      <c r="AU371" s="7" t="s">
        <v>106</v>
      </c>
      <c r="AY371" s="7" t="s">
        <v>161</v>
      </c>
      <c r="BE371" s="89">
        <f>IF($U$371="základní",$N$371,0)</f>
        <v>0</v>
      </c>
      <c r="BF371" s="89">
        <f>IF($U$371="snížená",$N$371,0)</f>
        <v>0</v>
      </c>
      <c r="BG371" s="89">
        <f>IF($U$371="zákl. přenesená",$N$371,0)</f>
        <v>0</v>
      </c>
      <c r="BH371" s="89">
        <f>IF($U$371="sníž. přenesená",$N$371,0)</f>
        <v>0</v>
      </c>
      <c r="BI371" s="89">
        <f>IF($U$371="nulová",$N$371,0)</f>
        <v>0</v>
      </c>
      <c r="BJ371" s="7" t="s">
        <v>16</v>
      </c>
      <c r="BK371" s="89">
        <f>ROUND($L$371*$K$371,2)</f>
        <v>0</v>
      </c>
      <c r="BL371" s="7" t="s">
        <v>167</v>
      </c>
    </row>
    <row r="372" spans="2:51" s="7" customFormat="1" ht="15.75" customHeight="1">
      <c r="B372" s="142"/>
      <c r="C372" s="143"/>
      <c r="D372" s="143"/>
      <c r="E372" s="143"/>
      <c r="F372" s="215" t="s">
        <v>344</v>
      </c>
      <c r="G372" s="216"/>
      <c r="H372" s="216"/>
      <c r="I372" s="216"/>
      <c r="J372" s="143"/>
      <c r="K372" s="144">
        <v>165.14</v>
      </c>
      <c r="L372" s="143"/>
      <c r="M372" s="143"/>
      <c r="N372" s="143"/>
      <c r="O372" s="143"/>
      <c r="P372" s="143"/>
      <c r="Q372" s="143"/>
      <c r="R372" s="145"/>
      <c r="T372" s="146"/>
      <c r="U372" s="143"/>
      <c r="V372" s="143"/>
      <c r="W372" s="143"/>
      <c r="X372" s="143"/>
      <c r="Y372" s="143"/>
      <c r="Z372" s="143"/>
      <c r="AA372" s="147"/>
      <c r="AT372" s="148" t="s">
        <v>169</v>
      </c>
      <c r="AU372" s="148" t="s">
        <v>106</v>
      </c>
      <c r="AV372" s="148" t="s">
        <v>106</v>
      </c>
      <c r="AW372" s="148" t="s">
        <v>114</v>
      </c>
      <c r="AX372" s="148" t="s">
        <v>76</v>
      </c>
      <c r="AY372" s="148" t="s">
        <v>161</v>
      </c>
    </row>
    <row r="373" spans="2:51" s="7" customFormat="1" ht="15.75" customHeight="1">
      <c r="B373" s="142"/>
      <c r="C373" s="143"/>
      <c r="D373" s="143"/>
      <c r="E373" s="143"/>
      <c r="F373" s="215" t="s">
        <v>345</v>
      </c>
      <c r="G373" s="216"/>
      <c r="H373" s="216"/>
      <c r="I373" s="216"/>
      <c r="J373" s="143"/>
      <c r="K373" s="144">
        <v>-35.145</v>
      </c>
      <c r="L373" s="143"/>
      <c r="M373" s="143"/>
      <c r="N373" s="143"/>
      <c r="O373" s="143"/>
      <c r="P373" s="143"/>
      <c r="Q373" s="143"/>
      <c r="R373" s="145"/>
      <c r="T373" s="146"/>
      <c r="U373" s="143"/>
      <c r="V373" s="143"/>
      <c r="W373" s="143"/>
      <c r="X373" s="143"/>
      <c r="Y373" s="143"/>
      <c r="Z373" s="143"/>
      <c r="AA373" s="147"/>
      <c r="AT373" s="148" t="s">
        <v>169</v>
      </c>
      <c r="AU373" s="148" t="s">
        <v>106</v>
      </c>
      <c r="AV373" s="148" t="s">
        <v>106</v>
      </c>
      <c r="AW373" s="148" t="s">
        <v>114</v>
      </c>
      <c r="AX373" s="148" t="s">
        <v>76</v>
      </c>
      <c r="AY373" s="148" t="s">
        <v>161</v>
      </c>
    </row>
    <row r="374" spans="2:51" s="7" customFormat="1" ht="15.75" customHeight="1">
      <c r="B374" s="149"/>
      <c r="C374" s="150"/>
      <c r="D374" s="150"/>
      <c r="E374" s="150"/>
      <c r="F374" s="223" t="s">
        <v>178</v>
      </c>
      <c r="G374" s="224"/>
      <c r="H374" s="224"/>
      <c r="I374" s="224"/>
      <c r="J374" s="150"/>
      <c r="K374" s="151">
        <v>129.995</v>
      </c>
      <c r="L374" s="150"/>
      <c r="M374" s="150"/>
      <c r="N374" s="150"/>
      <c r="O374" s="150"/>
      <c r="P374" s="150"/>
      <c r="Q374" s="150"/>
      <c r="R374" s="152"/>
      <c r="T374" s="153"/>
      <c r="U374" s="150"/>
      <c r="V374" s="150"/>
      <c r="W374" s="150"/>
      <c r="X374" s="150"/>
      <c r="Y374" s="150"/>
      <c r="Z374" s="150"/>
      <c r="AA374" s="154"/>
      <c r="AT374" s="155" t="s">
        <v>169</v>
      </c>
      <c r="AU374" s="155" t="s">
        <v>106</v>
      </c>
      <c r="AV374" s="155" t="s">
        <v>167</v>
      </c>
      <c r="AW374" s="155" t="s">
        <v>114</v>
      </c>
      <c r="AX374" s="155" t="s">
        <v>16</v>
      </c>
      <c r="AY374" s="155" t="s">
        <v>161</v>
      </c>
    </row>
    <row r="375" spans="2:63" s="124" customFormat="1" ht="23.25" customHeight="1">
      <c r="B375" s="125"/>
      <c r="C375" s="126"/>
      <c r="D375" s="134" t="s">
        <v>122</v>
      </c>
      <c r="E375" s="126"/>
      <c r="F375" s="126"/>
      <c r="G375" s="126"/>
      <c r="H375" s="126"/>
      <c r="I375" s="126"/>
      <c r="J375" s="126"/>
      <c r="K375" s="126"/>
      <c r="L375" s="126"/>
      <c r="M375" s="126"/>
      <c r="N375" s="206">
        <f>$BK$375</f>
        <v>0</v>
      </c>
      <c r="O375" s="207"/>
      <c r="P375" s="207"/>
      <c r="Q375" s="207"/>
      <c r="R375" s="128"/>
      <c r="T375" s="129"/>
      <c r="U375" s="126"/>
      <c r="V375" s="126"/>
      <c r="W375" s="130">
        <f>SUM($W$376:$W$381)</f>
        <v>414.769257</v>
      </c>
      <c r="X375" s="126"/>
      <c r="Y375" s="130">
        <f>SUM($Y$376:$Y$381)</f>
        <v>0</v>
      </c>
      <c r="Z375" s="126"/>
      <c r="AA375" s="131">
        <f>SUM($AA$376:$AA$381)</f>
        <v>10</v>
      </c>
      <c r="AR375" s="132" t="s">
        <v>16</v>
      </c>
      <c r="AT375" s="132" t="s">
        <v>75</v>
      </c>
      <c r="AU375" s="132" t="s">
        <v>106</v>
      </c>
      <c r="AY375" s="132" t="s">
        <v>161</v>
      </c>
      <c r="BK375" s="133">
        <f>SUM($BK$376:$BK$381)</f>
        <v>0</v>
      </c>
    </row>
    <row r="376" spans="2:64" s="7" customFormat="1" ht="27" customHeight="1">
      <c r="B376" s="23"/>
      <c r="C376" s="135" t="s">
        <v>513</v>
      </c>
      <c r="D376" s="135" t="s">
        <v>163</v>
      </c>
      <c r="E376" s="136" t="s">
        <v>514</v>
      </c>
      <c r="F376" s="217" t="s">
        <v>515</v>
      </c>
      <c r="G376" s="213"/>
      <c r="H376" s="213"/>
      <c r="I376" s="213"/>
      <c r="J376" s="137" t="s">
        <v>192</v>
      </c>
      <c r="K376" s="138">
        <v>48.387</v>
      </c>
      <c r="L376" s="212">
        <v>0</v>
      </c>
      <c r="M376" s="213"/>
      <c r="N376" s="214">
        <f>ROUND($L$376*$K$376,2)</f>
        <v>0</v>
      </c>
      <c r="O376" s="213"/>
      <c r="P376" s="213"/>
      <c r="Q376" s="213"/>
      <c r="R376" s="25"/>
      <c r="T376" s="139"/>
      <c r="U376" s="31" t="s">
        <v>41</v>
      </c>
      <c r="V376" s="140">
        <v>0.091</v>
      </c>
      <c r="W376" s="140">
        <f>$V$376*$K$376</f>
        <v>4.403217</v>
      </c>
      <c r="X376" s="140">
        <v>0</v>
      </c>
      <c r="Y376" s="140">
        <f>$X$376*$K$376</f>
        <v>0</v>
      </c>
      <c r="Z376" s="140">
        <v>0</v>
      </c>
      <c r="AA376" s="141">
        <f>$Z$376*$K$376</f>
        <v>0</v>
      </c>
      <c r="AR376" s="7" t="s">
        <v>167</v>
      </c>
      <c r="AT376" s="7" t="s">
        <v>163</v>
      </c>
      <c r="AU376" s="7" t="s">
        <v>516</v>
      </c>
      <c r="AY376" s="7" t="s">
        <v>161</v>
      </c>
      <c r="BE376" s="89">
        <f>IF($U$376="základní",$N$376,0)</f>
        <v>0</v>
      </c>
      <c r="BF376" s="89">
        <f>IF($U$376="snížená",$N$376,0)</f>
        <v>0</v>
      </c>
      <c r="BG376" s="89">
        <f>IF($U$376="zákl. přenesená",$N$376,0)</f>
        <v>0</v>
      </c>
      <c r="BH376" s="89">
        <f>IF($U$376="sníž. přenesená",$N$376,0)</f>
        <v>0</v>
      </c>
      <c r="BI376" s="89">
        <f>IF($U$376="nulová",$N$376,0)</f>
        <v>0</v>
      </c>
      <c r="BJ376" s="7" t="s">
        <v>16</v>
      </c>
      <c r="BK376" s="89">
        <f>ROUND($L$376*$K$376,2)</f>
        <v>0</v>
      </c>
      <c r="BL376" s="7" t="s">
        <v>167</v>
      </c>
    </row>
    <row r="377" spans="2:64" s="7" customFormat="1" ht="27" customHeight="1">
      <c r="B377" s="23"/>
      <c r="C377" s="135" t="s">
        <v>517</v>
      </c>
      <c r="D377" s="135" t="s">
        <v>163</v>
      </c>
      <c r="E377" s="136" t="s">
        <v>518</v>
      </c>
      <c r="F377" s="217" t="s">
        <v>519</v>
      </c>
      <c r="G377" s="213"/>
      <c r="H377" s="213"/>
      <c r="I377" s="213"/>
      <c r="J377" s="137" t="s">
        <v>192</v>
      </c>
      <c r="K377" s="138">
        <v>-10.855</v>
      </c>
      <c r="L377" s="212">
        <v>0</v>
      </c>
      <c r="M377" s="213"/>
      <c r="N377" s="214">
        <f>ROUND($L$377*$K$377,2)</f>
        <v>0</v>
      </c>
      <c r="O377" s="213"/>
      <c r="P377" s="213"/>
      <c r="Q377" s="213"/>
      <c r="R377" s="25"/>
      <c r="T377" s="139"/>
      <c r="U377" s="31" t="s">
        <v>41</v>
      </c>
      <c r="V377" s="140">
        <v>0.003</v>
      </c>
      <c r="W377" s="140">
        <f>$V$377*$K$377</f>
        <v>-0.032565000000000004</v>
      </c>
      <c r="X377" s="140">
        <v>0</v>
      </c>
      <c r="Y377" s="140">
        <f>$X$377*$K$377</f>
        <v>0</v>
      </c>
      <c r="Z377" s="140">
        <v>0</v>
      </c>
      <c r="AA377" s="141">
        <f>$Z$377*$K$377</f>
        <v>0</v>
      </c>
      <c r="AR377" s="7" t="s">
        <v>167</v>
      </c>
      <c r="AT377" s="7" t="s">
        <v>163</v>
      </c>
      <c r="AU377" s="7" t="s">
        <v>516</v>
      </c>
      <c r="AY377" s="7" t="s">
        <v>161</v>
      </c>
      <c r="BE377" s="89">
        <f>IF($U$377="základní",$N$377,0)</f>
        <v>0</v>
      </c>
      <c r="BF377" s="89">
        <f>IF($U$377="snížená",$N$377,0)</f>
        <v>0</v>
      </c>
      <c r="BG377" s="89">
        <f>IF($U$377="zákl. přenesená",$N$377,0)</f>
        <v>0</v>
      </c>
      <c r="BH377" s="89">
        <f>IF($U$377="sníž. přenesená",$N$377,0)</f>
        <v>0</v>
      </c>
      <c r="BI377" s="89">
        <f>IF($U$377="nulová",$N$377,0)</f>
        <v>0</v>
      </c>
      <c r="BJ377" s="7" t="s">
        <v>16</v>
      </c>
      <c r="BK377" s="89">
        <f>ROUND($L$377*$K$377,2)</f>
        <v>0</v>
      </c>
      <c r="BL377" s="7" t="s">
        <v>167</v>
      </c>
    </row>
    <row r="378" spans="2:51" s="7" customFormat="1" ht="15.75" customHeight="1">
      <c r="B378" s="142"/>
      <c r="C378" s="143"/>
      <c r="D378" s="143"/>
      <c r="E378" s="143"/>
      <c r="F378" s="215" t="s">
        <v>520</v>
      </c>
      <c r="G378" s="216"/>
      <c r="H378" s="216"/>
      <c r="I378" s="216"/>
      <c r="J378" s="143"/>
      <c r="K378" s="144">
        <v>-10.855</v>
      </c>
      <c r="L378" s="143"/>
      <c r="M378" s="143"/>
      <c r="N378" s="143"/>
      <c r="O378" s="143"/>
      <c r="P378" s="143"/>
      <c r="Q378" s="143"/>
      <c r="R378" s="145"/>
      <c r="T378" s="146"/>
      <c r="U378" s="143"/>
      <c r="V378" s="143"/>
      <c r="W378" s="143"/>
      <c r="X378" s="143"/>
      <c r="Y378" s="143"/>
      <c r="Z378" s="143"/>
      <c r="AA378" s="147"/>
      <c r="AT378" s="148" t="s">
        <v>169</v>
      </c>
      <c r="AU378" s="148" t="s">
        <v>516</v>
      </c>
      <c r="AV378" s="148" t="s">
        <v>106</v>
      </c>
      <c r="AW378" s="148" t="s">
        <v>114</v>
      </c>
      <c r="AX378" s="148" t="s">
        <v>16</v>
      </c>
      <c r="AY378" s="148" t="s">
        <v>161</v>
      </c>
    </row>
    <row r="379" spans="2:64" s="7" customFormat="1" ht="27" customHeight="1">
      <c r="B379" s="23"/>
      <c r="C379" s="135" t="s">
        <v>521</v>
      </c>
      <c r="D379" s="135" t="s">
        <v>163</v>
      </c>
      <c r="E379" s="136" t="s">
        <v>522</v>
      </c>
      <c r="F379" s="217" t="s">
        <v>523</v>
      </c>
      <c r="G379" s="213"/>
      <c r="H379" s="213"/>
      <c r="I379" s="213"/>
      <c r="J379" s="137" t="s">
        <v>524</v>
      </c>
      <c r="K379" s="138">
        <v>1</v>
      </c>
      <c r="L379" s="212">
        <v>0</v>
      </c>
      <c r="M379" s="213"/>
      <c r="N379" s="214">
        <f>ROUND($L$379*$K$379,2)</f>
        <v>0</v>
      </c>
      <c r="O379" s="213"/>
      <c r="P379" s="213"/>
      <c r="Q379" s="213"/>
      <c r="R379" s="25"/>
      <c r="T379" s="139"/>
      <c r="U379" s="31" t="s">
        <v>41</v>
      </c>
      <c r="V379" s="140">
        <v>70</v>
      </c>
      <c r="W379" s="140">
        <f>$V$379*$K$379</f>
        <v>70</v>
      </c>
      <c r="X379" s="140">
        <v>0</v>
      </c>
      <c r="Y379" s="140">
        <f>$X$379*$K$379</f>
        <v>0</v>
      </c>
      <c r="Z379" s="140">
        <v>10</v>
      </c>
      <c r="AA379" s="141">
        <f>$Z$379*$K$379</f>
        <v>10</v>
      </c>
      <c r="AR379" s="7" t="s">
        <v>167</v>
      </c>
      <c r="AT379" s="7" t="s">
        <v>163</v>
      </c>
      <c r="AU379" s="7" t="s">
        <v>516</v>
      </c>
      <c r="AY379" s="7" t="s">
        <v>161</v>
      </c>
      <c r="BE379" s="89">
        <f>IF($U$379="základní",$N$379,0)</f>
        <v>0</v>
      </c>
      <c r="BF379" s="89">
        <f>IF($U$379="snížená",$N$379,0)</f>
        <v>0</v>
      </c>
      <c r="BG379" s="89">
        <f>IF($U$379="zákl. přenesená",$N$379,0)</f>
        <v>0</v>
      </c>
      <c r="BH379" s="89">
        <f>IF($U$379="sníž. přenesená",$N$379,0)</f>
        <v>0</v>
      </c>
      <c r="BI379" s="89">
        <f>IF($U$379="nulová",$N$379,0)</f>
        <v>0</v>
      </c>
      <c r="BJ379" s="7" t="s">
        <v>16</v>
      </c>
      <c r="BK379" s="89">
        <f>ROUND($L$379*$K$379,2)</f>
        <v>0</v>
      </c>
      <c r="BL379" s="7" t="s">
        <v>167</v>
      </c>
    </row>
    <row r="380" spans="2:64" s="7" customFormat="1" ht="27" customHeight="1">
      <c r="B380" s="23"/>
      <c r="C380" s="135" t="s">
        <v>525</v>
      </c>
      <c r="D380" s="135" t="s">
        <v>163</v>
      </c>
      <c r="E380" s="136" t="s">
        <v>526</v>
      </c>
      <c r="F380" s="217" t="s">
        <v>527</v>
      </c>
      <c r="G380" s="213"/>
      <c r="H380" s="213"/>
      <c r="I380" s="213"/>
      <c r="J380" s="137" t="s">
        <v>192</v>
      </c>
      <c r="K380" s="138">
        <v>48.387</v>
      </c>
      <c r="L380" s="212">
        <v>0</v>
      </c>
      <c r="M380" s="213"/>
      <c r="N380" s="214">
        <f>ROUND($L$380*$K$380,2)</f>
        <v>0</v>
      </c>
      <c r="O380" s="213"/>
      <c r="P380" s="213"/>
      <c r="Q380" s="213"/>
      <c r="R380" s="25"/>
      <c r="T380" s="139"/>
      <c r="U380" s="31" t="s">
        <v>41</v>
      </c>
      <c r="V380" s="140">
        <v>0</v>
      </c>
      <c r="W380" s="140">
        <f>$V$380*$K$380</f>
        <v>0</v>
      </c>
      <c r="X380" s="140">
        <v>0</v>
      </c>
      <c r="Y380" s="140">
        <f>$X$380*$K$380</f>
        <v>0</v>
      </c>
      <c r="Z380" s="140">
        <v>0</v>
      </c>
      <c r="AA380" s="141">
        <f>$Z$380*$K$380</f>
        <v>0</v>
      </c>
      <c r="AR380" s="7" t="s">
        <v>167</v>
      </c>
      <c r="AT380" s="7" t="s">
        <v>163</v>
      </c>
      <c r="AU380" s="7" t="s">
        <v>516</v>
      </c>
      <c r="AY380" s="7" t="s">
        <v>161</v>
      </c>
      <c r="BE380" s="89">
        <f>IF($U$380="základní",$N$380,0)</f>
        <v>0</v>
      </c>
      <c r="BF380" s="89">
        <f>IF($U$380="snížená",$N$380,0)</f>
        <v>0</v>
      </c>
      <c r="BG380" s="89">
        <f>IF($U$380="zákl. přenesená",$N$380,0)</f>
        <v>0</v>
      </c>
      <c r="BH380" s="89">
        <f>IF($U$380="sníž. přenesená",$N$380,0)</f>
        <v>0</v>
      </c>
      <c r="BI380" s="89">
        <f>IF($U$380="nulová",$N$380,0)</f>
        <v>0</v>
      </c>
      <c r="BJ380" s="7" t="s">
        <v>16</v>
      </c>
      <c r="BK380" s="89">
        <f>ROUND($L$380*$K$380,2)</f>
        <v>0</v>
      </c>
      <c r="BL380" s="7" t="s">
        <v>167</v>
      </c>
    </row>
    <row r="381" spans="2:64" s="7" customFormat="1" ht="27" customHeight="1">
      <c r="B381" s="23"/>
      <c r="C381" s="135" t="s">
        <v>528</v>
      </c>
      <c r="D381" s="135" t="s">
        <v>163</v>
      </c>
      <c r="E381" s="136" t="s">
        <v>529</v>
      </c>
      <c r="F381" s="217" t="s">
        <v>530</v>
      </c>
      <c r="G381" s="213"/>
      <c r="H381" s="213"/>
      <c r="I381" s="213"/>
      <c r="J381" s="137" t="s">
        <v>192</v>
      </c>
      <c r="K381" s="138">
        <v>136.105</v>
      </c>
      <c r="L381" s="212">
        <v>0</v>
      </c>
      <c r="M381" s="213"/>
      <c r="N381" s="214">
        <f>ROUND($L$381*$K$381,2)</f>
        <v>0</v>
      </c>
      <c r="O381" s="213"/>
      <c r="P381" s="213"/>
      <c r="Q381" s="213"/>
      <c r="R381" s="25"/>
      <c r="T381" s="139"/>
      <c r="U381" s="31" t="s">
        <v>41</v>
      </c>
      <c r="V381" s="140">
        <v>2.501</v>
      </c>
      <c r="W381" s="140">
        <f>$V$381*$K$381</f>
        <v>340.398605</v>
      </c>
      <c r="X381" s="140">
        <v>0</v>
      </c>
      <c r="Y381" s="140">
        <f>$X$381*$K$381</f>
        <v>0</v>
      </c>
      <c r="Z381" s="140">
        <v>0</v>
      </c>
      <c r="AA381" s="141">
        <f>$Z$381*$K$381</f>
        <v>0</v>
      </c>
      <c r="AR381" s="7" t="s">
        <v>167</v>
      </c>
      <c r="AT381" s="7" t="s">
        <v>163</v>
      </c>
      <c r="AU381" s="7" t="s">
        <v>516</v>
      </c>
      <c r="AY381" s="7" t="s">
        <v>161</v>
      </c>
      <c r="BE381" s="89">
        <f>IF($U$381="základní",$N$381,0)</f>
        <v>0</v>
      </c>
      <c r="BF381" s="89">
        <f>IF($U$381="snížená",$N$381,0)</f>
        <v>0</v>
      </c>
      <c r="BG381" s="89">
        <f>IF($U$381="zákl. přenesená",$N$381,0)</f>
        <v>0</v>
      </c>
      <c r="BH381" s="89">
        <f>IF($U$381="sníž. přenesená",$N$381,0)</f>
        <v>0</v>
      </c>
      <c r="BI381" s="89">
        <f>IF($U$381="nulová",$N$381,0)</f>
        <v>0</v>
      </c>
      <c r="BJ381" s="7" t="s">
        <v>16</v>
      </c>
      <c r="BK381" s="89">
        <f>ROUND($L$381*$K$381,2)</f>
        <v>0</v>
      </c>
      <c r="BL381" s="7" t="s">
        <v>167</v>
      </c>
    </row>
    <row r="382" spans="2:63" s="124" customFormat="1" ht="37.5" customHeight="1">
      <c r="B382" s="125"/>
      <c r="C382" s="126"/>
      <c r="D382" s="127" t="s">
        <v>123</v>
      </c>
      <c r="E382" s="126"/>
      <c r="F382" s="126"/>
      <c r="G382" s="126"/>
      <c r="H382" s="126"/>
      <c r="I382" s="126"/>
      <c r="J382" s="126"/>
      <c r="K382" s="126"/>
      <c r="L382" s="126"/>
      <c r="M382" s="126"/>
      <c r="N382" s="208">
        <f>$BK$382</f>
        <v>0</v>
      </c>
      <c r="O382" s="207"/>
      <c r="P382" s="207"/>
      <c r="Q382" s="207"/>
      <c r="R382" s="128"/>
      <c r="T382" s="129"/>
      <c r="U382" s="126"/>
      <c r="V382" s="126"/>
      <c r="W382" s="130">
        <f>$W$383+$W$396+$W$409+$W$412+$W$416+$W$461+$W$466+$W$477+$W$485+$W$512</f>
        <v>600.062103</v>
      </c>
      <c r="X382" s="126"/>
      <c r="Y382" s="130">
        <f>$Y$383+$Y$396+$Y$409+$Y$412+$Y$416+$Y$461+$Y$466+$Y$477+$Y$485+$Y$512</f>
        <v>11.370547470000004</v>
      </c>
      <c r="Z382" s="126"/>
      <c r="AA382" s="131">
        <f>$AA$383+$AA$396+$AA$409+$AA$412+$AA$416+$AA$461+$AA$466+$AA$477+$AA$485+$AA$512</f>
        <v>6.6833</v>
      </c>
      <c r="AR382" s="132" t="s">
        <v>106</v>
      </c>
      <c r="AT382" s="132" t="s">
        <v>75</v>
      </c>
      <c r="AU382" s="132" t="s">
        <v>76</v>
      </c>
      <c r="AY382" s="132" t="s">
        <v>161</v>
      </c>
      <c r="BK382" s="133">
        <f>$BK$383+$BK$396+$BK$409+$BK$412+$BK$416+$BK$461+$BK$466+$BK$477+$BK$485+$BK$512</f>
        <v>0</v>
      </c>
    </row>
    <row r="383" spans="2:63" s="124" customFormat="1" ht="21" customHeight="1">
      <c r="B383" s="125"/>
      <c r="C383" s="126"/>
      <c r="D383" s="134" t="s">
        <v>124</v>
      </c>
      <c r="E383" s="126"/>
      <c r="F383" s="126"/>
      <c r="G383" s="126"/>
      <c r="H383" s="126"/>
      <c r="I383" s="126"/>
      <c r="J383" s="126"/>
      <c r="K383" s="126"/>
      <c r="L383" s="126"/>
      <c r="M383" s="126"/>
      <c r="N383" s="206">
        <f>$BK$383</f>
        <v>0</v>
      </c>
      <c r="O383" s="207"/>
      <c r="P383" s="207"/>
      <c r="Q383" s="207"/>
      <c r="R383" s="128"/>
      <c r="T383" s="129"/>
      <c r="U383" s="126"/>
      <c r="V383" s="126"/>
      <c r="W383" s="130">
        <f>SUM($W$384:$W$395)</f>
        <v>1.363292</v>
      </c>
      <c r="X383" s="126"/>
      <c r="Y383" s="130">
        <f>SUM($Y$384:$Y$395)</f>
        <v>0.031760699999999996</v>
      </c>
      <c r="Z383" s="126"/>
      <c r="AA383" s="131">
        <f>SUM($AA$384:$AA$395)</f>
        <v>0</v>
      </c>
      <c r="AR383" s="132" t="s">
        <v>106</v>
      </c>
      <c r="AT383" s="132" t="s">
        <v>75</v>
      </c>
      <c r="AU383" s="132" t="s">
        <v>16</v>
      </c>
      <c r="AY383" s="132" t="s">
        <v>161</v>
      </c>
      <c r="BK383" s="133">
        <f>SUM($BK$384:$BK$395)</f>
        <v>0</v>
      </c>
    </row>
    <row r="384" spans="2:64" s="7" customFormat="1" ht="27" customHeight="1">
      <c r="B384" s="23"/>
      <c r="C384" s="135" t="s">
        <v>531</v>
      </c>
      <c r="D384" s="135" t="s">
        <v>163</v>
      </c>
      <c r="E384" s="136" t="s">
        <v>532</v>
      </c>
      <c r="F384" s="217" t="s">
        <v>533</v>
      </c>
      <c r="G384" s="213"/>
      <c r="H384" s="213"/>
      <c r="I384" s="213"/>
      <c r="J384" s="137" t="s">
        <v>214</v>
      </c>
      <c r="K384" s="138">
        <v>5.338</v>
      </c>
      <c r="L384" s="212">
        <v>0</v>
      </c>
      <c r="M384" s="213"/>
      <c r="N384" s="214">
        <f>ROUND($L$384*$K$384,2)</f>
        <v>0</v>
      </c>
      <c r="O384" s="213"/>
      <c r="P384" s="213"/>
      <c r="Q384" s="213"/>
      <c r="R384" s="25"/>
      <c r="T384" s="139"/>
      <c r="U384" s="31" t="s">
        <v>41</v>
      </c>
      <c r="V384" s="140">
        <v>0.024</v>
      </c>
      <c r="W384" s="140">
        <f>$V$384*$K$384</f>
        <v>0.128112</v>
      </c>
      <c r="X384" s="140">
        <v>0</v>
      </c>
      <c r="Y384" s="140">
        <f>$X$384*$K$384</f>
        <v>0</v>
      </c>
      <c r="Z384" s="140">
        <v>0</v>
      </c>
      <c r="AA384" s="141">
        <f>$Z$384*$K$384</f>
        <v>0</v>
      </c>
      <c r="AR384" s="7" t="s">
        <v>386</v>
      </c>
      <c r="AT384" s="7" t="s">
        <v>163</v>
      </c>
      <c r="AU384" s="7" t="s">
        <v>106</v>
      </c>
      <c r="AY384" s="7" t="s">
        <v>161</v>
      </c>
      <c r="BE384" s="89">
        <f>IF($U$384="základní",$N$384,0)</f>
        <v>0</v>
      </c>
      <c r="BF384" s="89">
        <f>IF($U$384="snížená",$N$384,0)</f>
        <v>0</v>
      </c>
      <c r="BG384" s="89">
        <f>IF($U$384="zákl. přenesená",$N$384,0)</f>
        <v>0</v>
      </c>
      <c r="BH384" s="89">
        <f>IF($U$384="sníž. přenesená",$N$384,0)</f>
        <v>0</v>
      </c>
      <c r="BI384" s="89">
        <f>IF($U$384="nulová",$N$384,0)</f>
        <v>0</v>
      </c>
      <c r="BJ384" s="7" t="s">
        <v>16</v>
      </c>
      <c r="BK384" s="89">
        <f>ROUND($L$384*$K$384,2)</f>
        <v>0</v>
      </c>
      <c r="BL384" s="7" t="s">
        <v>386</v>
      </c>
    </row>
    <row r="385" spans="2:51" s="7" customFormat="1" ht="15.75" customHeight="1">
      <c r="B385" s="142"/>
      <c r="C385" s="143"/>
      <c r="D385" s="143"/>
      <c r="E385" s="143"/>
      <c r="F385" s="215" t="s">
        <v>534</v>
      </c>
      <c r="G385" s="216"/>
      <c r="H385" s="216"/>
      <c r="I385" s="216"/>
      <c r="J385" s="143"/>
      <c r="K385" s="144">
        <v>3.64</v>
      </c>
      <c r="L385" s="143"/>
      <c r="M385" s="143"/>
      <c r="N385" s="143"/>
      <c r="O385" s="143"/>
      <c r="P385" s="143"/>
      <c r="Q385" s="143"/>
      <c r="R385" s="145"/>
      <c r="T385" s="146"/>
      <c r="U385" s="143"/>
      <c r="V385" s="143"/>
      <c r="W385" s="143"/>
      <c r="X385" s="143"/>
      <c r="Y385" s="143"/>
      <c r="Z385" s="143"/>
      <c r="AA385" s="147"/>
      <c r="AT385" s="148" t="s">
        <v>169</v>
      </c>
      <c r="AU385" s="148" t="s">
        <v>106</v>
      </c>
      <c r="AV385" s="148" t="s">
        <v>106</v>
      </c>
      <c r="AW385" s="148" t="s">
        <v>114</v>
      </c>
      <c r="AX385" s="148" t="s">
        <v>76</v>
      </c>
      <c r="AY385" s="148" t="s">
        <v>161</v>
      </c>
    </row>
    <row r="386" spans="2:51" s="7" customFormat="1" ht="15.75" customHeight="1">
      <c r="B386" s="142"/>
      <c r="C386" s="143"/>
      <c r="D386" s="143"/>
      <c r="E386" s="143"/>
      <c r="F386" s="215" t="s">
        <v>535</v>
      </c>
      <c r="G386" s="216"/>
      <c r="H386" s="216"/>
      <c r="I386" s="216"/>
      <c r="J386" s="143"/>
      <c r="K386" s="144">
        <v>1.698</v>
      </c>
      <c r="L386" s="143"/>
      <c r="M386" s="143"/>
      <c r="N386" s="143"/>
      <c r="O386" s="143"/>
      <c r="P386" s="143"/>
      <c r="Q386" s="143"/>
      <c r="R386" s="145"/>
      <c r="T386" s="146"/>
      <c r="U386" s="143"/>
      <c r="V386" s="143"/>
      <c r="W386" s="143"/>
      <c r="X386" s="143"/>
      <c r="Y386" s="143"/>
      <c r="Z386" s="143"/>
      <c r="AA386" s="147"/>
      <c r="AT386" s="148" t="s">
        <v>169</v>
      </c>
      <c r="AU386" s="148" t="s">
        <v>106</v>
      </c>
      <c r="AV386" s="148" t="s">
        <v>106</v>
      </c>
      <c r="AW386" s="148" t="s">
        <v>114</v>
      </c>
      <c r="AX386" s="148" t="s">
        <v>76</v>
      </c>
      <c r="AY386" s="148" t="s">
        <v>161</v>
      </c>
    </row>
    <row r="387" spans="2:51" s="7" customFormat="1" ht="15.75" customHeight="1">
      <c r="B387" s="149"/>
      <c r="C387" s="150"/>
      <c r="D387" s="150"/>
      <c r="E387" s="150"/>
      <c r="F387" s="223" t="s">
        <v>178</v>
      </c>
      <c r="G387" s="224"/>
      <c r="H387" s="224"/>
      <c r="I387" s="224"/>
      <c r="J387" s="150"/>
      <c r="K387" s="151">
        <v>5.338</v>
      </c>
      <c r="L387" s="150"/>
      <c r="M387" s="150"/>
      <c r="N387" s="150"/>
      <c r="O387" s="150"/>
      <c r="P387" s="150"/>
      <c r="Q387" s="150"/>
      <c r="R387" s="152"/>
      <c r="T387" s="153"/>
      <c r="U387" s="150"/>
      <c r="V387" s="150"/>
      <c r="W387" s="150"/>
      <c r="X387" s="150"/>
      <c r="Y387" s="150"/>
      <c r="Z387" s="150"/>
      <c r="AA387" s="154"/>
      <c r="AT387" s="155" t="s">
        <v>169</v>
      </c>
      <c r="AU387" s="155" t="s">
        <v>106</v>
      </c>
      <c r="AV387" s="155" t="s">
        <v>167</v>
      </c>
      <c r="AW387" s="155" t="s">
        <v>114</v>
      </c>
      <c r="AX387" s="155" t="s">
        <v>16</v>
      </c>
      <c r="AY387" s="155" t="s">
        <v>161</v>
      </c>
    </row>
    <row r="388" spans="2:64" s="7" customFormat="1" ht="15.75" customHeight="1">
      <c r="B388" s="23"/>
      <c r="C388" s="156" t="s">
        <v>536</v>
      </c>
      <c r="D388" s="156" t="s">
        <v>201</v>
      </c>
      <c r="E388" s="157" t="s">
        <v>537</v>
      </c>
      <c r="F388" s="219" t="s">
        <v>538</v>
      </c>
      <c r="G388" s="220"/>
      <c r="H388" s="220"/>
      <c r="I388" s="220"/>
      <c r="J388" s="158" t="s">
        <v>192</v>
      </c>
      <c r="K388" s="159">
        <v>0.002</v>
      </c>
      <c r="L388" s="221">
        <v>0</v>
      </c>
      <c r="M388" s="220"/>
      <c r="N388" s="222">
        <f>ROUND($L$388*$K$388,2)</f>
        <v>0</v>
      </c>
      <c r="O388" s="213"/>
      <c r="P388" s="213"/>
      <c r="Q388" s="213"/>
      <c r="R388" s="25"/>
      <c r="T388" s="139"/>
      <c r="U388" s="31" t="s">
        <v>41</v>
      </c>
      <c r="V388" s="140">
        <v>0</v>
      </c>
      <c r="W388" s="140">
        <f>$V$388*$K$388</f>
        <v>0</v>
      </c>
      <c r="X388" s="140">
        <v>1</v>
      </c>
      <c r="Y388" s="140">
        <f>$X$388*$K$388</f>
        <v>0.002</v>
      </c>
      <c r="Z388" s="140">
        <v>0</v>
      </c>
      <c r="AA388" s="141">
        <f>$Z$388*$K$388</f>
        <v>0</v>
      </c>
      <c r="AR388" s="7" t="s">
        <v>539</v>
      </c>
      <c r="AT388" s="7" t="s">
        <v>201</v>
      </c>
      <c r="AU388" s="7" t="s">
        <v>106</v>
      </c>
      <c r="AY388" s="7" t="s">
        <v>161</v>
      </c>
      <c r="BE388" s="89">
        <f>IF($U$388="základní",$N$388,0)</f>
        <v>0</v>
      </c>
      <c r="BF388" s="89">
        <f>IF($U$388="snížená",$N$388,0)</f>
        <v>0</v>
      </c>
      <c r="BG388" s="89">
        <f>IF($U$388="zákl. přenesená",$N$388,0)</f>
        <v>0</v>
      </c>
      <c r="BH388" s="89">
        <f>IF($U$388="sníž. přenesená",$N$388,0)</f>
        <v>0</v>
      </c>
      <c r="BI388" s="89">
        <f>IF($U$388="nulová",$N$388,0)</f>
        <v>0</v>
      </c>
      <c r="BJ388" s="7" t="s">
        <v>16</v>
      </c>
      <c r="BK388" s="89">
        <f>ROUND($L$388*$K$388,2)</f>
        <v>0</v>
      </c>
      <c r="BL388" s="7" t="s">
        <v>386</v>
      </c>
    </row>
    <row r="389" spans="2:47" s="7" customFormat="1" ht="25.5" customHeight="1">
      <c r="B389" s="23"/>
      <c r="C389" s="24"/>
      <c r="D389" s="24"/>
      <c r="E389" s="24"/>
      <c r="F389" s="218" t="s">
        <v>540</v>
      </c>
      <c r="G389" s="170"/>
      <c r="H389" s="170"/>
      <c r="I389" s="170"/>
      <c r="J389" s="24"/>
      <c r="K389" s="24"/>
      <c r="L389" s="24"/>
      <c r="M389" s="24"/>
      <c r="N389" s="24"/>
      <c r="O389" s="24"/>
      <c r="P389" s="24"/>
      <c r="Q389" s="24"/>
      <c r="R389" s="25"/>
      <c r="T389" s="60"/>
      <c r="U389" s="24"/>
      <c r="V389" s="24"/>
      <c r="W389" s="24"/>
      <c r="X389" s="24"/>
      <c r="Y389" s="24"/>
      <c r="Z389" s="24"/>
      <c r="AA389" s="61"/>
      <c r="AT389" s="7" t="s">
        <v>198</v>
      </c>
      <c r="AU389" s="7" t="s">
        <v>106</v>
      </c>
    </row>
    <row r="390" spans="2:64" s="7" customFormat="1" ht="27" customHeight="1">
      <c r="B390" s="23"/>
      <c r="C390" s="135" t="s">
        <v>541</v>
      </c>
      <c r="D390" s="135" t="s">
        <v>163</v>
      </c>
      <c r="E390" s="136" t="s">
        <v>542</v>
      </c>
      <c r="F390" s="217" t="s">
        <v>543</v>
      </c>
      <c r="G390" s="213"/>
      <c r="H390" s="213"/>
      <c r="I390" s="213"/>
      <c r="J390" s="137" t="s">
        <v>214</v>
      </c>
      <c r="K390" s="138">
        <v>5.338</v>
      </c>
      <c r="L390" s="212">
        <v>0</v>
      </c>
      <c r="M390" s="213"/>
      <c r="N390" s="214">
        <f>ROUND($L$390*$K$390,2)</f>
        <v>0</v>
      </c>
      <c r="O390" s="213"/>
      <c r="P390" s="213"/>
      <c r="Q390" s="213"/>
      <c r="R390" s="25"/>
      <c r="T390" s="139"/>
      <c r="U390" s="31" t="s">
        <v>41</v>
      </c>
      <c r="V390" s="140">
        <v>0.222</v>
      </c>
      <c r="W390" s="140">
        <f>$V$390*$K$390</f>
        <v>1.185036</v>
      </c>
      <c r="X390" s="140">
        <v>0.0004</v>
      </c>
      <c r="Y390" s="140">
        <f>$X$390*$K$390</f>
        <v>0.0021352000000000003</v>
      </c>
      <c r="Z390" s="140">
        <v>0</v>
      </c>
      <c r="AA390" s="141">
        <f>$Z$390*$K$390</f>
        <v>0</v>
      </c>
      <c r="AR390" s="7" t="s">
        <v>386</v>
      </c>
      <c r="AT390" s="7" t="s">
        <v>163</v>
      </c>
      <c r="AU390" s="7" t="s">
        <v>106</v>
      </c>
      <c r="AY390" s="7" t="s">
        <v>161</v>
      </c>
      <c r="BE390" s="89">
        <f>IF($U$390="základní",$N$390,0)</f>
        <v>0</v>
      </c>
      <c r="BF390" s="89">
        <f>IF($U$390="snížená",$N$390,0)</f>
        <v>0</v>
      </c>
      <c r="BG390" s="89">
        <f>IF($U$390="zákl. přenesená",$N$390,0)</f>
        <v>0</v>
      </c>
      <c r="BH390" s="89">
        <f>IF($U$390="sníž. přenesená",$N$390,0)</f>
        <v>0</v>
      </c>
      <c r="BI390" s="89">
        <f>IF($U$390="nulová",$N$390,0)</f>
        <v>0</v>
      </c>
      <c r="BJ390" s="7" t="s">
        <v>16</v>
      </c>
      <c r="BK390" s="89">
        <f>ROUND($L$390*$K$390,2)</f>
        <v>0</v>
      </c>
      <c r="BL390" s="7" t="s">
        <v>386</v>
      </c>
    </row>
    <row r="391" spans="2:51" s="7" customFormat="1" ht="15.75" customHeight="1">
      <c r="B391" s="142"/>
      <c r="C391" s="143"/>
      <c r="D391" s="143"/>
      <c r="E391" s="143"/>
      <c r="F391" s="215" t="s">
        <v>534</v>
      </c>
      <c r="G391" s="216"/>
      <c r="H391" s="216"/>
      <c r="I391" s="216"/>
      <c r="J391" s="143"/>
      <c r="K391" s="144">
        <v>3.64</v>
      </c>
      <c r="L391" s="143"/>
      <c r="M391" s="143"/>
      <c r="N391" s="143"/>
      <c r="O391" s="143"/>
      <c r="P391" s="143"/>
      <c r="Q391" s="143"/>
      <c r="R391" s="145"/>
      <c r="T391" s="146"/>
      <c r="U391" s="143"/>
      <c r="V391" s="143"/>
      <c r="W391" s="143"/>
      <c r="X391" s="143"/>
      <c r="Y391" s="143"/>
      <c r="Z391" s="143"/>
      <c r="AA391" s="147"/>
      <c r="AT391" s="148" t="s">
        <v>169</v>
      </c>
      <c r="AU391" s="148" t="s">
        <v>106</v>
      </c>
      <c r="AV391" s="148" t="s">
        <v>106</v>
      </c>
      <c r="AW391" s="148" t="s">
        <v>114</v>
      </c>
      <c r="AX391" s="148" t="s">
        <v>76</v>
      </c>
      <c r="AY391" s="148" t="s">
        <v>161</v>
      </c>
    </row>
    <row r="392" spans="2:51" s="7" customFormat="1" ht="15.75" customHeight="1">
      <c r="B392" s="142"/>
      <c r="C392" s="143"/>
      <c r="D392" s="143"/>
      <c r="E392" s="143"/>
      <c r="F392" s="215" t="s">
        <v>535</v>
      </c>
      <c r="G392" s="216"/>
      <c r="H392" s="216"/>
      <c r="I392" s="216"/>
      <c r="J392" s="143"/>
      <c r="K392" s="144">
        <v>1.698</v>
      </c>
      <c r="L392" s="143"/>
      <c r="M392" s="143"/>
      <c r="N392" s="143"/>
      <c r="O392" s="143"/>
      <c r="P392" s="143"/>
      <c r="Q392" s="143"/>
      <c r="R392" s="145"/>
      <c r="T392" s="146"/>
      <c r="U392" s="143"/>
      <c r="V392" s="143"/>
      <c r="W392" s="143"/>
      <c r="X392" s="143"/>
      <c r="Y392" s="143"/>
      <c r="Z392" s="143"/>
      <c r="AA392" s="147"/>
      <c r="AT392" s="148" t="s">
        <v>169</v>
      </c>
      <c r="AU392" s="148" t="s">
        <v>106</v>
      </c>
      <c r="AV392" s="148" t="s">
        <v>106</v>
      </c>
      <c r="AW392" s="148" t="s">
        <v>114</v>
      </c>
      <c r="AX392" s="148" t="s">
        <v>76</v>
      </c>
      <c r="AY392" s="148" t="s">
        <v>161</v>
      </c>
    </row>
    <row r="393" spans="2:51" s="7" customFormat="1" ht="15.75" customHeight="1">
      <c r="B393" s="149"/>
      <c r="C393" s="150"/>
      <c r="D393" s="150"/>
      <c r="E393" s="150"/>
      <c r="F393" s="223" t="s">
        <v>178</v>
      </c>
      <c r="G393" s="224"/>
      <c r="H393" s="224"/>
      <c r="I393" s="224"/>
      <c r="J393" s="150"/>
      <c r="K393" s="151">
        <v>5.338</v>
      </c>
      <c r="L393" s="150"/>
      <c r="M393" s="150"/>
      <c r="N393" s="150"/>
      <c r="O393" s="150"/>
      <c r="P393" s="150"/>
      <c r="Q393" s="150"/>
      <c r="R393" s="152"/>
      <c r="T393" s="153"/>
      <c r="U393" s="150"/>
      <c r="V393" s="150"/>
      <c r="W393" s="150"/>
      <c r="X393" s="150"/>
      <c r="Y393" s="150"/>
      <c r="Z393" s="150"/>
      <c r="AA393" s="154"/>
      <c r="AT393" s="155" t="s">
        <v>169</v>
      </c>
      <c r="AU393" s="155" t="s">
        <v>106</v>
      </c>
      <c r="AV393" s="155" t="s">
        <v>167</v>
      </c>
      <c r="AW393" s="155" t="s">
        <v>114</v>
      </c>
      <c r="AX393" s="155" t="s">
        <v>16</v>
      </c>
      <c r="AY393" s="155" t="s">
        <v>161</v>
      </c>
    </row>
    <row r="394" spans="2:64" s="7" customFormat="1" ht="27" customHeight="1">
      <c r="B394" s="23"/>
      <c r="C394" s="156" t="s">
        <v>544</v>
      </c>
      <c r="D394" s="156" t="s">
        <v>201</v>
      </c>
      <c r="E394" s="157" t="s">
        <v>545</v>
      </c>
      <c r="F394" s="219" t="s">
        <v>546</v>
      </c>
      <c r="G394" s="220"/>
      <c r="H394" s="220"/>
      <c r="I394" s="220"/>
      <c r="J394" s="158" t="s">
        <v>214</v>
      </c>
      <c r="K394" s="159">
        <v>6.139</v>
      </c>
      <c r="L394" s="221">
        <v>0</v>
      </c>
      <c r="M394" s="220"/>
      <c r="N394" s="222">
        <f>ROUND($L$394*$K$394,2)</f>
        <v>0</v>
      </c>
      <c r="O394" s="213"/>
      <c r="P394" s="213"/>
      <c r="Q394" s="213"/>
      <c r="R394" s="25"/>
      <c r="T394" s="139"/>
      <c r="U394" s="31" t="s">
        <v>41</v>
      </c>
      <c r="V394" s="140">
        <v>0</v>
      </c>
      <c r="W394" s="140">
        <f>$V$394*$K$394</f>
        <v>0</v>
      </c>
      <c r="X394" s="140">
        <v>0.0045</v>
      </c>
      <c r="Y394" s="140">
        <f>$X$394*$K$394</f>
        <v>0.027625499999999997</v>
      </c>
      <c r="Z394" s="140">
        <v>0</v>
      </c>
      <c r="AA394" s="141">
        <f>$Z$394*$K$394</f>
        <v>0</v>
      </c>
      <c r="AR394" s="7" t="s">
        <v>539</v>
      </c>
      <c r="AT394" s="7" t="s">
        <v>201</v>
      </c>
      <c r="AU394" s="7" t="s">
        <v>106</v>
      </c>
      <c r="AY394" s="7" t="s">
        <v>161</v>
      </c>
      <c r="BE394" s="89">
        <f>IF($U$394="základní",$N$394,0)</f>
        <v>0</v>
      </c>
      <c r="BF394" s="89">
        <f>IF($U$394="snížená",$N$394,0)</f>
        <v>0</v>
      </c>
      <c r="BG394" s="89">
        <f>IF($U$394="zákl. přenesená",$N$394,0)</f>
        <v>0</v>
      </c>
      <c r="BH394" s="89">
        <f>IF($U$394="sníž. přenesená",$N$394,0)</f>
        <v>0</v>
      </c>
      <c r="BI394" s="89">
        <f>IF($U$394="nulová",$N$394,0)</f>
        <v>0</v>
      </c>
      <c r="BJ394" s="7" t="s">
        <v>16</v>
      </c>
      <c r="BK394" s="89">
        <f>ROUND($L$394*$K$394,2)</f>
        <v>0</v>
      </c>
      <c r="BL394" s="7" t="s">
        <v>386</v>
      </c>
    </row>
    <row r="395" spans="2:64" s="7" customFormat="1" ht="27" customHeight="1">
      <c r="B395" s="23"/>
      <c r="C395" s="135" t="s">
        <v>547</v>
      </c>
      <c r="D395" s="135" t="s">
        <v>163</v>
      </c>
      <c r="E395" s="136" t="s">
        <v>548</v>
      </c>
      <c r="F395" s="217" t="s">
        <v>549</v>
      </c>
      <c r="G395" s="213"/>
      <c r="H395" s="213"/>
      <c r="I395" s="213"/>
      <c r="J395" s="137" t="s">
        <v>192</v>
      </c>
      <c r="K395" s="138">
        <v>0.032</v>
      </c>
      <c r="L395" s="212">
        <v>0</v>
      </c>
      <c r="M395" s="213"/>
      <c r="N395" s="214">
        <f>ROUND($L$395*$K$395,2)</f>
        <v>0</v>
      </c>
      <c r="O395" s="213"/>
      <c r="P395" s="213"/>
      <c r="Q395" s="213"/>
      <c r="R395" s="25"/>
      <c r="T395" s="139"/>
      <c r="U395" s="31" t="s">
        <v>41</v>
      </c>
      <c r="V395" s="140">
        <v>1.567</v>
      </c>
      <c r="W395" s="140">
        <f>$V$395*$K$395</f>
        <v>0.050144</v>
      </c>
      <c r="X395" s="140">
        <v>0</v>
      </c>
      <c r="Y395" s="140">
        <f>$X$395*$K$395</f>
        <v>0</v>
      </c>
      <c r="Z395" s="140">
        <v>0</v>
      </c>
      <c r="AA395" s="141">
        <f>$Z$395*$K$395</f>
        <v>0</v>
      </c>
      <c r="AR395" s="7" t="s">
        <v>386</v>
      </c>
      <c r="AT395" s="7" t="s">
        <v>163</v>
      </c>
      <c r="AU395" s="7" t="s">
        <v>106</v>
      </c>
      <c r="AY395" s="7" t="s">
        <v>161</v>
      </c>
      <c r="BE395" s="89">
        <f>IF($U$395="základní",$N$395,0)</f>
        <v>0</v>
      </c>
      <c r="BF395" s="89">
        <f>IF($U$395="snížená",$N$395,0)</f>
        <v>0</v>
      </c>
      <c r="BG395" s="89">
        <f>IF($U$395="zákl. přenesená",$N$395,0)</f>
        <v>0</v>
      </c>
      <c r="BH395" s="89">
        <f>IF($U$395="sníž. přenesená",$N$395,0)</f>
        <v>0</v>
      </c>
      <c r="BI395" s="89">
        <f>IF($U$395="nulová",$N$395,0)</f>
        <v>0</v>
      </c>
      <c r="BJ395" s="7" t="s">
        <v>16</v>
      </c>
      <c r="BK395" s="89">
        <f>ROUND($L$395*$K$395,2)</f>
        <v>0</v>
      </c>
      <c r="BL395" s="7" t="s">
        <v>386</v>
      </c>
    </row>
    <row r="396" spans="2:63" s="124" customFormat="1" ht="30.75" customHeight="1">
      <c r="B396" s="125"/>
      <c r="C396" s="126"/>
      <c r="D396" s="134" t="s">
        <v>125</v>
      </c>
      <c r="E396" s="126"/>
      <c r="F396" s="126"/>
      <c r="G396" s="126"/>
      <c r="H396" s="126"/>
      <c r="I396" s="126"/>
      <c r="J396" s="126"/>
      <c r="K396" s="126"/>
      <c r="L396" s="126"/>
      <c r="M396" s="126"/>
      <c r="N396" s="206">
        <f>$BK$396</f>
        <v>0</v>
      </c>
      <c r="O396" s="207"/>
      <c r="P396" s="207"/>
      <c r="Q396" s="207"/>
      <c r="R396" s="128"/>
      <c r="T396" s="129"/>
      <c r="U396" s="126"/>
      <c r="V396" s="126"/>
      <c r="W396" s="130">
        <f>SUM($W$397:$W$408)</f>
        <v>100.74730000000002</v>
      </c>
      <c r="X396" s="126"/>
      <c r="Y396" s="130">
        <f>SUM($Y$397:$Y$408)</f>
        <v>1.4149661500000001</v>
      </c>
      <c r="Z396" s="126"/>
      <c r="AA396" s="131">
        <f>SUM($AA$397:$AA$408)</f>
        <v>0</v>
      </c>
      <c r="AR396" s="132" t="s">
        <v>106</v>
      </c>
      <c r="AT396" s="132" t="s">
        <v>75</v>
      </c>
      <c r="AU396" s="132" t="s">
        <v>16</v>
      </c>
      <c r="AY396" s="132" t="s">
        <v>161</v>
      </c>
      <c r="BK396" s="133">
        <f>SUM($BK$397:$BK$408)</f>
        <v>0</v>
      </c>
    </row>
    <row r="397" spans="2:64" s="7" customFormat="1" ht="27" customHeight="1">
      <c r="B397" s="23"/>
      <c r="C397" s="135" t="s">
        <v>550</v>
      </c>
      <c r="D397" s="135" t="s">
        <v>163</v>
      </c>
      <c r="E397" s="136" t="s">
        <v>551</v>
      </c>
      <c r="F397" s="217" t="s">
        <v>552</v>
      </c>
      <c r="G397" s="213"/>
      <c r="H397" s="213"/>
      <c r="I397" s="213"/>
      <c r="J397" s="137" t="s">
        <v>214</v>
      </c>
      <c r="K397" s="138">
        <v>251.5</v>
      </c>
      <c r="L397" s="212">
        <v>0</v>
      </c>
      <c r="M397" s="213"/>
      <c r="N397" s="214">
        <f>ROUND($L$397*$K$397,2)</f>
        <v>0</v>
      </c>
      <c r="O397" s="213"/>
      <c r="P397" s="213"/>
      <c r="Q397" s="213"/>
      <c r="R397" s="25"/>
      <c r="T397" s="139"/>
      <c r="U397" s="31" t="s">
        <v>41</v>
      </c>
      <c r="V397" s="140">
        <v>0.231</v>
      </c>
      <c r="W397" s="140">
        <f>$V$397*$K$397</f>
        <v>58.096500000000006</v>
      </c>
      <c r="X397" s="140">
        <v>0.0003</v>
      </c>
      <c r="Y397" s="140">
        <f>$X$397*$K$397</f>
        <v>0.07544999999999999</v>
      </c>
      <c r="Z397" s="140">
        <v>0</v>
      </c>
      <c r="AA397" s="141">
        <f>$Z$397*$K$397</f>
        <v>0</v>
      </c>
      <c r="AR397" s="7" t="s">
        <v>386</v>
      </c>
      <c r="AT397" s="7" t="s">
        <v>163</v>
      </c>
      <c r="AU397" s="7" t="s">
        <v>106</v>
      </c>
      <c r="AY397" s="7" t="s">
        <v>161</v>
      </c>
      <c r="BE397" s="89">
        <f>IF($U$397="základní",$N$397,0)</f>
        <v>0</v>
      </c>
      <c r="BF397" s="89">
        <f>IF($U$397="snížená",$N$397,0)</f>
        <v>0</v>
      </c>
      <c r="BG397" s="89">
        <f>IF($U$397="zákl. přenesená",$N$397,0)</f>
        <v>0</v>
      </c>
      <c r="BH397" s="89">
        <f>IF($U$397="sníž. přenesená",$N$397,0)</f>
        <v>0</v>
      </c>
      <c r="BI397" s="89">
        <f>IF($U$397="nulová",$N$397,0)</f>
        <v>0</v>
      </c>
      <c r="BJ397" s="7" t="s">
        <v>16</v>
      </c>
      <c r="BK397" s="89">
        <f>ROUND($L$397*$K$397,2)</f>
        <v>0</v>
      </c>
      <c r="BL397" s="7" t="s">
        <v>386</v>
      </c>
    </row>
    <row r="398" spans="2:51" s="7" customFormat="1" ht="15.75" customHeight="1">
      <c r="B398" s="142"/>
      <c r="C398" s="143"/>
      <c r="D398" s="143"/>
      <c r="E398" s="143"/>
      <c r="F398" s="215" t="s">
        <v>553</v>
      </c>
      <c r="G398" s="216"/>
      <c r="H398" s="216"/>
      <c r="I398" s="216"/>
      <c r="J398" s="143"/>
      <c r="K398" s="144">
        <v>251.5</v>
      </c>
      <c r="L398" s="143"/>
      <c r="M398" s="143"/>
      <c r="N398" s="143"/>
      <c r="O398" s="143"/>
      <c r="P398" s="143"/>
      <c r="Q398" s="143"/>
      <c r="R398" s="145"/>
      <c r="T398" s="146"/>
      <c r="U398" s="143"/>
      <c r="V398" s="143"/>
      <c r="W398" s="143"/>
      <c r="X398" s="143"/>
      <c r="Y398" s="143"/>
      <c r="Z398" s="143"/>
      <c r="AA398" s="147"/>
      <c r="AT398" s="148" t="s">
        <v>169</v>
      </c>
      <c r="AU398" s="148" t="s">
        <v>106</v>
      </c>
      <c r="AV398" s="148" t="s">
        <v>106</v>
      </c>
      <c r="AW398" s="148" t="s">
        <v>114</v>
      </c>
      <c r="AX398" s="148" t="s">
        <v>16</v>
      </c>
      <c r="AY398" s="148" t="s">
        <v>161</v>
      </c>
    </row>
    <row r="399" spans="2:64" s="7" customFormat="1" ht="27" customHeight="1">
      <c r="B399" s="23"/>
      <c r="C399" s="156" t="s">
        <v>554</v>
      </c>
      <c r="D399" s="156" t="s">
        <v>201</v>
      </c>
      <c r="E399" s="157" t="s">
        <v>555</v>
      </c>
      <c r="F399" s="219" t="s">
        <v>556</v>
      </c>
      <c r="G399" s="220"/>
      <c r="H399" s="220"/>
      <c r="I399" s="220"/>
      <c r="J399" s="158" t="s">
        <v>214</v>
      </c>
      <c r="K399" s="159">
        <v>256.53</v>
      </c>
      <c r="L399" s="221">
        <v>0</v>
      </c>
      <c r="M399" s="220"/>
      <c r="N399" s="222">
        <f>ROUND($L$399*$K$399,2)</f>
        <v>0</v>
      </c>
      <c r="O399" s="213"/>
      <c r="P399" s="213"/>
      <c r="Q399" s="213"/>
      <c r="R399" s="25"/>
      <c r="T399" s="139"/>
      <c r="U399" s="31" t="s">
        <v>41</v>
      </c>
      <c r="V399" s="140">
        <v>0</v>
      </c>
      <c r="W399" s="140">
        <f>$V$399*$K$399</f>
        <v>0</v>
      </c>
      <c r="X399" s="140">
        <v>0.0028</v>
      </c>
      <c r="Y399" s="140">
        <f>$X$399*$K$399</f>
        <v>0.7182839999999999</v>
      </c>
      <c r="Z399" s="140">
        <v>0</v>
      </c>
      <c r="AA399" s="141">
        <f>$Z$399*$K$399</f>
        <v>0</v>
      </c>
      <c r="AR399" s="7" t="s">
        <v>539</v>
      </c>
      <c r="AT399" s="7" t="s">
        <v>201</v>
      </c>
      <c r="AU399" s="7" t="s">
        <v>106</v>
      </c>
      <c r="AY399" s="7" t="s">
        <v>161</v>
      </c>
      <c r="BE399" s="89">
        <f>IF($U$399="základní",$N$399,0)</f>
        <v>0</v>
      </c>
      <c r="BF399" s="89">
        <f>IF($U$399="snížená",$N$399,0)</f>
        <v>0</v>
      </c>
      <c r="BG399" s="89">
        <f>IF($U$399="zákl. přenesená",$N$399,0)</f>
        <v>0</v>
      </c>
      <c r="BH399" s="89">
        <f>IF($U$399="sníž. přenesená",$N$399,0)</f>
        <v>0</v>
      </c>
      <c r="BI399" s="89">
        <f>IF($U$399="nulová",$N$399,0)</f>
        <v>0</v>
      </c>
      <c r="BJ399" s="7" t="s">
        <v>16</v>
      </c>
      <c r="BK399" s="89">
        <f>ROUND($L$399*$K$399,2)</f>
        <v>0</v>
      </c>
      <c r="BL399" s="7" t="s">
        <v>386</v>
      </c>
    </row>
    <row r="400" spans="2:64" s="7" customFormat="1" ht="39" customHeight="1">
      <c r="B400" s="23"/>
      <c r="C400" s="135" t="s">
        <v>557</v>
      </c>
      <c r="D400" s="135" t="s">
        <v>163</v>
      </c>
      <c r="E400" s="136" t="s">
        <v>558</v>
      </c>
      <c r="F400" s="217" t="s">
        <v>559</v>
      </c>
      <c r="G400" s="213"/>
      <c r="H400" s="213"/>
      <c r="I400" s="213"/>
      <c r="J400" s="137" t="s">
        <v>214</v>
      </c>
      <c r="K400" s="138">
        <v>2.85</v>
      </c>
      <c r="L400" s="212">
        <v>0</v>
      </c>
      <c r="M400" s="213"/>
      <c r="N400" s="214">
        <f>ROUND($L$400*$K$400,2)</f>
        <v>0</v>
      </c>
      <c r="O400" s="213"/>
      <c r="P400" s="213"/>
      <c r="Q400" s="213"/>
      <c r="R400" s="25"/>
      <c r="T400" s="139"/>
      <c r="U400" s="31" t="s">
        <v>41</v>
      </c>
      <c r="V400" s="140">
        <v>0.102</v>
      </c>
      <c r="W400" s="140">
        <f>$V$400*$K$400</f>
        <v>0.2907</v>
      </c>
      <c r="X400" s="140">
        <v>0</v>
      </c>
      <c r="Y400" s="140">
        <f>$X$400*$K$400</f>
        <v>0</v>
      </c>
      <c r="Z400" s="140">
        <v>0</v>
      </c>
      <c r="AA400" s="141">
        <f>$Z$400*$K$400</f>
        <v>0</v>
      </c>
      <c r="AR400" s="7" t="s">
        <v>386</v>
      </c>
      <c r="AT400" s="7" t="s">
        <v>163</v>
      </c>
      <c r="AU400" s="7" t="s">
        <v>106</v>
      </c>
      <c r="AY400" s="7" t="s">
        <v>161</v>
      </c>
      <c r="BE400" s="89">
        <f>IF($U$400="základní",$N$400,0)</f>
        <v>0</v>
      </c>
      <c r="BF400" s="89">
        <f>IF($U$400="snížená",$N$400,0)</f>
        <v>0</v>
      </c>
      <c r="BG400" s="89">
        <f>IF($U$400="zákl. přenesená",$N$400,0)</f>
        <v>0</v>
      </c>
      <c r="BH400" s="89">
        <f>IF($U$400="sníž. přenesená",$N$400,0)</f>
        <v>0</v>
      </c>
      <c r="BI400" s="89">
        <f>IF($U$400="nulová",$N$400,0)</f>
        <v>0</v>
      </c>
      <c r="BJ400" s="7" t="s">
        <v>16</v>
      </c>
      <c r="BK400" s="89">
        <f>ROUND($L$400*$K$400,2)</f>
        <v>0</v>
      </c>
      <c r="BL400" s="7" t="s">
        <v>386</v>
      </c>
    </row>
    <row r="401" spans="2:51" s="7" customFormat="1" ht="15.75" customHeight="1">
      <c r="B401" s="142"/>
      <c r="C401" s="143"/>
      <c r="D401" s="143"/>
      <c r="E401" s="143"/>
      <c r="F401" s="215" t="s">
        <v>560</v>
      </c>
      <c r="G401" s="216"/>
      <c r="H401" s="216"/>
      <c r="I401" s="216"/>
      <c r="J401" s="143"/>
      <c r="K401" s="144">
        <v>2.85</v>
      </c>
      <c r="L401" s="143"/>
      <c r="M401" s="143"/>
      <c r="N401" s="143"/>
      <c r="O401" s="143"/>
      <c r="P401" s="143"/>
      <c r="Q401" s="143"/>
      <c r="R401" s="145"/>
      <c r="T401" s="146"/>
      <c r="U401" s="143"/>
      <c r="V401" s="143"/>
      <c r="W401" s="143"/>
      <c r="X401" s="143"/>
      <c r="Y401" s="143"/>
      <c r="Z401" s="143"/>
      <c r="AA401" s="147"/>
      <c r="AT401" s="148" t="s">
        <v>169</v>
      </c>
      <c r="AU401" s="148" t="s">
        <v>106</v>
      </c>
      <c r="AV401" s="148" t="s">
        <v>106</v>
      </c>
      <c r="AW401" s="148" t="s">
        <v>114</v>
      </c>
      <c r="AX401" s="148" t="s">
        <v>16</v>
      </c>
      <c r="AY401" s="148" t="s">
        <v>161</v>
      </c>
    </row>
    <row r="402" spans="2:64" s="7" customFormat="1" ht="27" customHeight="1">
      <c r="B402" s="23"/>
      <c r="C402" s="156" t="s">
        <v>561</v>
      </c>
      <c r="D402" s="156" t="s">
        <v>201</v>
      </c>
      <c r="E402" s="157" t="s">
        <v>562</v>
      </c>
      <c r="F402" s="219" t="s">
        <v>563</v>
      </c>
      <c r="G402" s="220"/>
      <c r="H402" s="220"/>
      <c r="I402" s="220"/>
      <c r="J402" s="158" t="s">
        <v>214</v>
      </c>
      <c r="K402" s="159">
        <v>2.907</v>
      </c>
      <c r="L402" s="221">
        <v>0</v>
      </c>
      <c r="M402" s="220"/>
      <c r="N402" s="222">
        <f>ROUND($L$402*$K$402,2)</f>
        <v>0</v>
      </c>
      <c r="O402" s="213"/>
      <c r="P402" s="213"/>
      <c r="Q402" s="213"/>
      <c r="R402" s="25"/>
      <c r="T402" s="139"/>
      <c r="U402" s="31" t="s">
        <v>41</v>
      </c>
      <c r="V402" s="140">
        <v>0</v>
      </c>
      <c r="W402" s="140">
        <f>$V$402*$K$402</f>
        <v>0</v>
      </c>
      <c r="X402" s="140">
        <v>0.00085</v>
      </c>
      <c r="Y402" s="140">
        <f>$X$402*$K$402</f>
        <v>0.00247095</v>
      </c>
      <c r="Z402" s="140">
        <v>0</v>
      </c>
      <c r="AA402" s="141">
        <f>$Z$402*$K$402</f>
        <v>0</v>
      </c>
      <c r="AR402" s="7" t="s">
        <v>539</v>
      </c>
      <c r="AT402" s="7" t="s">
        <v>201</v>
      </c>
      <c r="AU402" s="7" t="s">
        <v>106</v>
      </c>
      <c r="AY402" s="7" t="s">
        <v>161</v>
      </c>
      <c r="BE402" s="89">
        <f>IF($U$402="základní",$N$402,0)</f>
        <v>0</v>
      </c>
      <c r="BF402" s="89">
        <f>IF($U$402="snížená",$N$402,0)</f>
        <v>0</v>
      </c>
      <c r="BG402" s="89">
        <f>IF($U$402="zákl. přenesená",$N$402,0)</f>
        <v>0</v>
      </c>
      <c r="BH402" s="89">
        <f>IF($U$402="sníž. přenesená",$N$402,0)</f>
        <v>0</v>
      </c>
      <c r="BI402" s="89">
        <f>IF($U$402="nulová",$N$402,0)</f>
        <v>0</v>
      </c>
      <c r="BJ402" s="7" t="s">
        <v>16</v>
      </c>
      <c r="BK402" s="89">
        <f>ROUND($L$402*$K$402,2)</f>
        <v>0</v>
      </c>
      <c r="BL402" s="7" t="s">
        <v>386</v>
      </c>
    </row>
    <row r="403" spans="2:64" s="7" customFormat="1" ht="39" customHeight="1">
      <c r="B403" s="23"/>
      <c r="C403" s="135" t="s">
        <v>564</v>
      </c>
      <c r="D403" s="135" t="s">
        <v>163</v>
      </c>
      <c r="E403" s="136" t="s">
        <v>565</v>
      </c>
      <c r="F403" s="217" t="s">
        <v>566</v>
      </c>
      <c r="G403" s="213"/>
      <c r="H403" s="213"/>
      <c r="I403" s="213"/>
      <c r="J403" s="137" t="s">
        <v>214</v>
      </c>
      <c r="K403" s="138">
        <v>251.5</v>
      </c>
      <c r="L403" s="212">
        <v>0</v>
      </c>
      <c r="M403" s="213"/>
      <c r="N403" s="214">
        <f>ROUND($L$403*$K$403,2)</f>
        <v>0</v>
      </c>
      <c r="O403" s="213"/>
      <c r="P403" s="213"/>
      <c r="Q403" s="213"/>
      <c r="R403" s="25"/>
      <c r="T403" s="139"/>
      <c r="U403" s="31" t="s">
        <v>41</v>
      </c>
      <c r="V403" s="140">
        <v>0.1</v>
      </c>
      <c r="W403" s="140">
        <f>$V$403*$K$403</f>
        <v>25.150000000000002</v>
      </c>
      <c r="X403" s="140">
        <v>0</v>
      </c>
      <c r="Y403" s="140">
        <f>$X$403*$K$403</f>
        <v>0</v>
      </c>
      <c r="Z403" s="140">
        <v>0</v>
      </c>
      <c r="AA403" s="141">
        <f>$Z$403*$K$403</f>
        <v>0</v>
      </c>
      <c r="AR403" s="7" t="s">
        <v>386</v>
      </c>
      <c r="AT403" s="7" t="s">
        <v>163</v>
      </c>
      <c r="AU403" s="7" t="s">
        <v>106</v>
      </c>
      <c r="AY403" s="7" t="s">
        <v>161</v>
      </c>
      <c r="BE403" s="89">
        <f>IF($U$403="základní",$N$403,0)</f>
        <v>0</v>
      </c>
      <c r="BF403" s="89">
        <f>IF($U$403="snížená",$N$403,0)</f>
        <v>0</v>
      </c>
      <c r="BG403" s="89">
        <f>IF($U$403="zákl. přenesená",$N$403,0)</f>
        <v>0</v>
      </c>
      <c r="BH403" s="89">
        <f>IF($U$403="sníž. přenesená",$N$403,0)</f>
        <v>0</v>
      </c>
      <c r="BI403" s="89">
        <f>IF($U$403="nulová",$N$403,0)</f>
        <v>0</v>
      </c>
      <c r="BJ403" s="7" t="s">
        <v>16</v>
      </c>
      <c r="BK403" s="89">
        <f>ROUND($L$403*$K$403,2)</f>
        <v>0</v>
      </c>
      <c r="BL403" s="7" t="s">
        <v>386</v>
      </c>
    </row>
    <row r="404" spans="2:64" s="7" customFormat="1" ht="15.75" customHeight="1">
      <c r="B404" s="23"/>
      <c r="C404" s="156" t="s">
        <v>567</v>
      </c>
      <c r="D404" s="156" t="s">
        <v>201</v>
      </c>
      <c r="E404" s="157" t="s">
        <v>568</v>
      </c>
      <c r="F404" s="219" t="s">
        <v>569</v>
      </c>
      <c r="G404" s="220"/>
      <c r="H404" s="220"/>
      <c r="I404" s="220"/>
      <c r="J404" s="158" t="s">
        <v>214</v>
      </c>
      <c r="K404" s="159">
        <v>289.225</v>
      </c>
      <c r="L404" s="221">
        <v>0</v>
      </c>
      <c r="M404" s="220"/>
      <c r="N404" s="222">
        <f>ROUND($L$404*$K$404,2)</f>
        <v>0</v>
      </c>
      <c r="O404" s="213"/>
      <c r="P404" s="213"/>
      <c r="Q404" s="213"/>
      <c r="R404" s="25"/>
      <c r="T404" s="139"/>
      <c r="U404" s="31" t="s">
        <v>41</v>
      </c>
      <c r="V404" s="140">
        <v>0</v>
      </c>
      <c r="W404" s="140">
        <f>$V$404*$K$404</f>
        <v>0</v>
      </c>
      <c r="X404" s="140">
        <v>0.002</v>
      </c>
      <c r="Y404" s="140">
        <f>$X$404*$K$404</f>
        <v>0.57845</v>
      </c>
      <c r="Z404" s="140">
        <v>0</v>
      </c>
      <c r="AA404" s="141">
        <f>$Z$404*$K$404</f>
        <v>0</v>
      </c>
      <c r="AR404" s="7" t="s">
        <v>539</v>
      </c>
      <c r="AT404" s="7" t="s">
        <v>201</v>
      </c>
      <c r="AU404" s="7" t="s">
        <v>106</v>
      </c>
      <c r="AY404" s="7" t="s">
        <v>161</v>
      </c>
      <c r="BE404" s="89">
        <f>IF($U$404="základní",$N$404,0)</f>
        <v>0</v>
      </c>
      <c r="BF404" s="89">
        <f>IF($U$404="snížená",$N$404,0)</f>
        <v>0</v>
      </c>
      <c r="BG404" s="89">
        <f>IF($U$404="zákl. přenesená",$N$404,0)</f>
        <v>0</v>
      </c>
      <c r="BH404" s="89">
        <f>IF($U$404="sníž. přenesená",$N$404,0)</f>
        <v>0</v>
      </c>
      <c r="BI404" s="89">
        <f>IF($U$404="nulová",$N$404,0)</f>
        <v>0</v>
      </c>
      <c r="BJ404" s="7" t="s">
        <v>16</v>
      </c>
      <c r="BK404" s="89">
        <f>ROUND($L$404*$K$404,2)</f>
        <v>0</v>
      </c>
      <c r="BL404" s="7" t="s">
        <v>386</v>
      </c>
    </row>
    <row r="405" spans="2:64" s="7" customFormat="1" ht="27" customHeight="1">
      <c r="B405" s="23"/>
      <c r="C405" s="135" t="s">
        <v>570</v>
      </c>
      <c r="D405" s="135" t="s">
        <v>163</v>
      </c>
      <c r="E405" s="136" t="s">
        <v>571</v>
      </c>
      <c r="F405" s="217" t="s">
        <v>572</v>
      </c>
      <c r="G405" s="213"/>
      <c r="H405" s="213"/>
      <c r="I405" s="213"/>
      <c r="J405" s="137" t="s">
        <v>214</v>
      </c>
      <c r="K405" s="138">
        <v>245.8</v>
      </c>
      <c r="L405" s="212">
        <v>0</v>
      </c>
      <c r="M405" s="213"/>
      <c r="N405" s="214">
        <f>ROUND($L$405*$K$405,2)</f>
        <v>0</v>
      </c>
      <c r="O405" s="213"/>
      <c r="P405" s="213"/>
      <c r="Q405" s="213"/>
      <c r="R405" s="25"/>
      <c r="T405" s="139"/>
      <c r="U405" s="31" t="s">
        <v>41</v>
      </c>
      <c r="V405" s="140">
        <v>0.06</v>
      </c>
      <c r="W405" s="140">
        <f>$V$405*$K$405</f>
        <v>14.748</v>
      </c>
      <c r="X405" s="140">
        <v>1E-05</v>
      </c>
      <c r="Y405" s="140">
        <f>$X$405*$K$405</f>
        <v>0.002458</v>
      </c>
      <c r="Z405" s="140">
        <v>0</v>
      </c>
      <c r="AA405" s="141">
        <f>$Z$405*$K$405</f>
        <v>0</v>
      </c>
      <c r="AR405" s="7" t="s">
        <v>386</v>
      </c>
      <c r="AT405" s="7" t="s">
        <v>163</v>
      </c>
      <c r="AU405" s="7" t="s">
        <v>106</v>
      </c>
      <c r="AY405" s="7" t="s">
        <v>161</v>
      </c>
      <c r="BE405" s="89">
        <f>IF($U$405="základní",$N$405,0)</f>
        <v>0</v>
      </c>
      <c r="BF405" s="89">
        <f>IF($U$405="snížená",$N$405,0)</f>
        <v>0</v>
      </c>
      <c r="BG405" s="89">
        <f>IF($U$405="zákl. přenesená",$N$405,0)</f>
        <v>0</v>
      </c>
      <c r="BH405" s="89">
        <f>IF($U$405="sníž. přenesená",$N$405,0)</f>
        <v>0</v>
      </c>
      <c r="BI405" s="89">
        <f>IF($U$405="nulová",$N$405,0)</f>
        <v>0</v>
      </c>
      <c r="BJ405" s="7" t="s">
        <v>16</v>
      </c>
      <c r="BK405" s="89">
        <f>ROUND($L$405*$K$405,2)</f>
        <v>0</v>
      </c>
      <c r="BL405" s="7" t="s">
        <v>386</v>
      </c>
    </row>
    <row r="406" spans="2:51" s="7" customFormat="1" ht="15.75" customHeight="1">
      <c r="B406" s="142"/>
      <c r="C406" s="143"/>
      <c r="D406" s="143"/>
      <c r="E406" s="143"/>
      <c r="F406" s="215" t="s">
        <v>573</v>
      </c>
      <c r="G406" s="216"/>
      <c r="H406" s="216"/>
      <c r="I406" s="216"/>
      <c r="J406" s="143"/>
      <c r="K406" s="144">
        <v>245.8</v>
      </c>
      <c r="L406" s="143"/>
      <c r="M406" s="143"/>
      <c r="N406" s="143"/>
      <c r="O406" s="143"/>
      <c r="P406" s="143"/>
      <c r="Q406" s="143"/>
      <c r="R406" s="145"/>
      <c r="T406" s="146"/>
      <c r="U406" s="143"/>
      <c r="V406" s="143"/>
      <c r="W406" s="143"/>
      <c r="X406" s="143"/>
      <c r="Y406" s="143"/>
      <c r="Z406" s="143"/>
      <c r="AA406" s="147"/>
      <c r="AT406" s="148" t="s">
        <v>169</v>
      </c>
      <c r="AU406" s="148" t="s">
        <v>106</v>
      </c>
      <c r="AV406" s="148" t="s">
        <v>106</v>
      </c>
      <c r="AW406" s="148" t="s">
        <v>114</v>
      </c>
      <c r="AX406" s="148" t="s">
        <v>16</v>
      </c>
      <c r="AY406" s="148" t="s">
        <v>161</v>
      </c>
    </row>
    <row r="407" spans="2:64" s="7" customFormat="1" ht="27" customHeight="1">
      <c r="B407" s="23"/>
      <c r="C407" s="156" t="s">
        <v>574</v>
      </c>
      <c r="D407" s="156" t="s">
        <v>201</v>
      </c>
      <c r="E407" s="157" t="s">
        <v>575</v>
      </c>
      <c r="F407" s="219" t="s">
        <v>576</v>
      </c>
      <c r="G407" s="220"/>
      <c r="H407" s="220"/>
      <c r="I407" s="220"/>
      <c r="J407" s="158" t="s">
        <v>214</v>
      </c>
      <c r="K407" s="159">
        <v>270.38</v>
      </c>
      <c r="L407" s="221">
        <v>0</v>
      </c>
      <c r="M407" s="220"/>
      <c r="N407" s="222">
        <f>ROUND($L$407*$K$407,2)</f>
        <v>0</v>
      </c>
      <c r="O407" s="213"/>
      <c r="P407" s="213"/>
      <c r="Q407" s="213"/>
      <c r="R407" s="25"/>
      <c r="T407" s="139"/>
      <c r="U407" s="31" t="s">
        <v>41</v>
      </c>
      <c r="V407" s="140">
        <v>0</v>
      </c>
      <c r="W407" s="140">
        <f>$V$407*$K$407</f>
        <v>0</v>
      </c>
      <c r="X407" s="140">
        <v>0.00014</v>
      </c>
      <c r="Y407" s="140">
        <f>$X$407*$K$407</f>
        <v>0.0378532</v>
      </c>
      <c r="Z407" s="140">
        <v>0</v>
      </c>
      <c r="AA407" s="141">
        <f>$Z$407*$K$407</f>
        <v>0</v>
      </c>
      <c r="AR407" s="7" t="s">
        <v>539</v>
      </c>
      <c r="AT407" s="7" t="s">
        <v>201</v>
      </c>
      <c r="AU407" s="7" t="s">
        <v>106</v>
      </c>
      <c r="AY407" s="7" t="s">
        <v>161</v>
      </c>
      <c r="BE407" s="89">
        <f>IF($U$407="základní",$N$407,0)</f>
        <v>0</v>
      </c>
      <c r="BF407" s="89">
        <f>IF($U$407="snížená",$N$407,0)</f>
        <v>0</v>
      </c>
      <c r="BG407" s="89">
        <f>IF($U$407="zákl. přenesená",$N$407,0)</f>
        <v>0</v>
      </c>
      <c r="BH407" s="89">
        <f>IF($U$407="sníž. přenesená",$N$407,0)</f>
        <v>0</v>
      </c>
      <c r="BI407" s="89">
        <f>IF($U$407="nulová",$N$407,0)</f>
        <v>0</v>
      </c>
      <c r="BJ407" s="7" t="s">
        <v>16</v>
      </c>
      <c r="BK407" s="89">
        <f>ROUND($L$407*$K$407,2)</f>
        <v>0</v>
      </c>
      <c r="BL407" s="7" t="s">
        <v>386</v>
      </c>
    </row>
    <row r="408" spans="2:64" s="7" customFormat="1" ht="27" customHeight="1">
      <c r="B408" s="23"/>
      <c r="C408" s="135" t="s">
        <v>577</v>
      </c>
      <c r="D408" s="135" t="s">
        <v>163</v>
      </c>
      <c r="E408" s="136" t="s">
        <v>578</v>
      </c>
      <c r="F408" s="217" t="s">
        <v>579</v>
      </c>
      <c r="G408" s="213"/>
      <c r="H408" s="213"/>
      <c r="I408" s="213"/>
      <c r="J408" s="137" t="s">
        <v>192</v>
      </c>
      <c r="K408" s="138">
        <v>1.415</v>
      </c>
      <c r="L408" s="212">
        <v>0</v>
      </c>
      <c r="M408" s="213"/>
      <c r="N408" s="214">
        <f>ROUND($L$408*$K$408,2)</f>
        <v>0</v>
      </c>
      <c r="O408" s="213"/>
      <c r="P408" s="213"/>
      <c r="Q408" s="213"/>
      <c r="R408" s="25"/>
      <c r="T408" s="139"/>
      <c r="U408" s="31" t="s">
        <v>41</v>
      </c>
      <c r="V408" s="140">
        <v>1.74</v>
      </c>
      <c r="W408" s="140">
        <f>$V$408*$K$408</f>
        <v>2.4621</v>
      </c>
      <c r="X408" s="140">
        <v>0</v>
      </c>
      <c r="Y408" s="140">
        <f>$X$408*$K$408</f>
        <v>0</v>
      </c>
      <c r="Z408" s="140">
        <v>0</v>
      </c>
      <c r="AA408" s="141">
        <f>$Z$408*$K$408</f>
        <v>0</v>
      </c>
      <c r="AR408" s="7" t="s">
        <v>386</v>
      </c>
      <c r="AT408" s="7" t="s">
        <v>163</v>
      </c>
      <c r="AU408" s="7" t="s">
        <v>106</v>
      </c>
      <c r="AY408" s="7" t="s">
        <v>161</v>
      </c>
      <c r="BE408" s="89">
        <f>IF($U$408="základní",$N$408,0)</f>
        <v>0</v>
      </c>
      <c r="BF408" s="89">
        <f>IF($U$408="snížená",$N$408,0)</f>
        <v>0</v>
      </c>
      <c r="BG408" s="89">
        <f>IF($U$408="zákl. přenesená",$N$408,0)</f>
        <v>0</v>
      </c>
      <c r="BH408" s="89">
        <f>IF($U$408="sníž. přenesená",$N$408,0)</f>
        <v>0</v>
      </c>
      <c r="BI408" s="89">
        <f>IF($U$408="nulová",$N$408,0)</f>
        <v>0</v>
      </c>
      <c r="BJ408" s="7" t="s">
        <v>16</v>
      </c>
      <c r="BK408" s="89">
        <f>ROUND($L$408*$K$408,2)</f>
        <v>0</v>
      </c>
      <c r="BL408" s="7" t="s">
        <v>386</v>
      </c>
    </row>
    <row r="409" spans="2:63" s="124" customFormat="1" ht="30.75" customHeight="1">
      <c r="B409" s="125"/>
      <c r="C409" s="126"/>
      <c r="D409" s="134" t="s">
        <v>126</v>
      </c>
      <c r="E409" s="126"/>
      <c r="F409" s="126"/>
      <c r="G409" s="126"/>
      <c r="H409" s="126"/>
      <c r="I409" s="126"/>
      <c r="J409" s="126"/>
      <c r="K409" s="126"/>
      <c r="L409" s="126"/>
      <c r="M409" s="126"/>
      <c r="N409" s="206">
        <f>$BK$409</f>
        <v>0</v>
      </c>
      <c r="O409" s="207"/>
      <c r="P409" s="207"/>
      <c r="Q409" s="207"/>
      <c r="R409" s="128"/>
      <c r="T409" s="129"/>
      <c r="U409" s="126"/>
      <c r="V409" s="126"/>
      <c r="W409" s="130">
        <f>SUM($W$410:$W$411)</f>
        <v>0</v>
      </c>
      <c r="X409" s="126"/>
      <c r="Y409" s="130">
        <f>SUM($Y$410:$Y$411)</f>
        <v>0</v>
      </c>
      <c r="Z409" s="126"/>
      <c r="AA409" s="131">
        <f>SUM($AA$410:$AA$411)</f>
        <v>0</v>
      </c>
      <c r="AR409" s="132" t="s">
        <v>106</v>
      </c>
      <c r="AT409" s="132" t="s">
        <v>75</v>
      </c>
      <c r="AU409" s="132" t="s">
        <v>16</v>
      </c>
      <c r="AY409" s="132" t="s">
        <v>161</v>
      </c>
      <c r="BK409" s="133">
        <f>SUM($BK$410:$BK$411)</f>
        <v>0</v>
      </c>
    </row>
    <row r="410" spans="2:64" s="7" customFormat="1" ht="15.75" customHeight="1">
      <c r="B410" s="23"/>
      <c r="C410" s="135"/>
      <c r="D410" s="135"/>
      <c r="E410" s="136"/>
      <c r="F410" s="238" t="s">
        <v>790</v>
      </c>
      <c r="G410" s="239"/>
      <c r="H410" s="239"/>
      <c r="I410" s="239"/>
      <c r="J410" s="137"/>
      <c r="K410" s="138"/>
      <c r="L410" s="212"/>
      <c r="M410" s="213"/>
      <c r="N410" s="214"/>
      <c r="O410" s="213"/>
      <c r="P410" s="213"/>
      <c r="Q410" s="213"/>
      <c r="R410" s="25"/>
      <c r="T410" s="139"/>
      <c r="U410" s="31" t="s">
        <v>41</v>
      </c>
      <c r="V410" s="140">
        <v>0</v>
      </c>
      <c r="W410" s="140">
        <f>$V$410*$K$410</f>
        <v>0</v>
      </c>
      <c r="X410" s="140">
        <v>0</v>
      </c>
      <c r="Y410" s="140">
        <f>$X$410*$K$410</f>
        <v>0</v>
      </c>
      <c r="Z410" s="140">
        <v>0</v>
      </c>
      <c r="AA410" s="141">
        <f>$Z$410*$K$410</f>
        <v>0</v>
      </c>
      <c r="AR410" s="7" t="s">
        <v>386</v>
      </c>
      <c r="AT410" s="7" t="s">
        <v>163</v>
      </c>
      <c r="AU410" s="7" t="s">
        <v>106</v>
      </c>
      <c r="AY410" s="7" t="s">
        <v>161</v>
      </c>
      <c r="BE410" s="89">
        <f>IF($U$410="základní",$N$410,0)</f>
        <v>0</v>
      </c>
      <c r="BF410" s="89">
        <f>IF($U$410="snížená",$N$410,0)</f>
        <v>0</v>
      </c>
      <c r="BG410" s="89">
        <f>IF($U$410="zákl. přenesená",$N$410,0)</f>
        <v>0</v>
      </c>
      <c r="BH410" s="89">
        <f>IF($U$410="sníž. přenesená",$N$410,0)</f>
        <v>0</v>
      </c>
      <c r="BI410" s="89">
        <f>IF($U$410="nulová",$N$410,0)</f>
        <v>0</v>
      </c>
      <c r="BJ410" s="7" t="s">
        <v>16</v>
      </c>
      <c r="BK410" s="89">
        <f>ROUND($L$410*$K$410,2)</f>
        <v>0</v>
      </c>
      <c r="BL410" s="7" t="s">
        <v>386</v>
      </c>
    </row>
    <row r="411" spans="2:47" s="7" customFormat="1" ht="15.75" customHeight="1">
      <c r="B411" s="23"/>
      <c r="C411" s="24"/>
      <c r="D411" s="24"/>
      <c r="E411" s="24"/>
      <c r="F411" s="218" t="s">
        <v>580</v>
      </c>
      <c r="G411" s="170"/>
      <c r="H411" s="170"/>
      <c r="I411" s="170"/>
      <c r="J411" s="24"/>
      <c r="K411" s="24"/>
      <c r="L411" s="24"/>
      <c r="M411" s="24"/>
      <c r="N411" s="24"/>
      <c r="O411" s="24"/>
      <c r="P411" s="24"/>
      <c r="Q411" s="24"/>
      <c r="R411" s="25"/>
      <c r="T411" s="60"/>
      <c r="U411" s="24"/>
      <c r="V411" s="24"/>
      <c r="W411" s="24"/>
      <c r="X411" s="24"/>
      <c r="Y411" s="24"/>
      <c r="Z411" s="24"/>
      <c r="AA411" s="61"/>
      <c r="AT411" s="7" t="s">
        <v>198</v>
      </c>
      <c r="AU411" s="7" t="s">
        <v>106</v>
      </c>
    </row>
    <row r="412" spans="2:63" s="124" customFormat="1" ht="30.75" customHeight="1">
      <c r="B412" s="125"/>
      <c r="C412" s="126"/>
      <c r="D412" s="134" t="s">
        <v>127</v>
      </c>
      <c r="E412" s="126"/>
      <c r="F412" s="126"/>
      <c r="G412" s="126"/>
      <c r="H412" s="126"/>
      <c r="I412" s="126"/>
      <c r="J412" s="126"/>
      <c r="K412" s="126"/>
      <c r="L412" s="126"/>
      <c r="M412" s="126"/>
      <c r="N412" s="206">
        <f>$BK$412</f>
        <v>0</v>
      </c>
      <c r="O412" s="207"/>
      <c r="P412" s="207"/>
      <c r="Q412" s="207"/>
      <c r="R412" s="128"/>
      <c r="T412" s="129"/>
      <c r="U412" s="126"/>
      <c r="V412" s="126"/>
      <c r="W412" s="130">
        <f>SUM($W$413:$W$415)</f>
        <v>5.98506</v>
      </c>
      <c r="X412" s="126"/>
      <c r="Y412" s="130">
        <f>SUM($Y$413:$Y$415)</f>
        <v>0.179946</v>
      </c>
      <c r="Z412" s="126"/>
      <c r="AA412" s="131">
        <f>SUM($AA$413:$AA$415)</f>
        <v>0</v>
      </c>
      <c r="AR412" s="132" t="s">
        <v>106</v>
      </c>
      <c r="AT412" s="132" t="s">
        <v>75</v>
      </c>
      <c r="AU412" s="132" t="s">
        <v>16</v>
      </c>
      <c r="AY412" s="132" t="s">
        <v>161</v>
      </c>
      <c r="BK412" s="133">
        <f>SUM($BK$413:$BK$415)</f>
        <v>0</v>
      </c>
    </row>
    <row r="413" spans="2:64" s="7" customFormat="1" ht="27" customHeight="1">
      <c r="B413" s="23"/>
      <c r="C413" s="135" t="s">
        <v>581</v>
      </c>
      <c r="D413" s="135" t="s">
        <v>163</v>
      </c>
      <c r="E413" s="136" t="s">
        <v>582</v>
      </c>
      <c r="F413" s="217" t="s">
        <v>583</v>
      </c>
      <c r="G413" s="213"/>
      <c r="H413" s="213"/>
      <c r="I413" s="213"/>
      <c r="J413" s="137" t="s">
        <v>214</v>
      </c>
      <c r="K413" s="138">
        <v>1.56</v>
      </c>
      <c r="L413" s="212">
        <v>0</v>
      </c>
      <c r="M413" s="213"/>
      <c r="N413" s="214">
        <f>ROUND($L$413*$K$413,2)</f>
        <v>0</v>
      </c>
      <c r="O413" s="213"/>
      <c r="P413" s="213"/>
      <c r="Q413" s="213"/>
      <c r="R413" s="25"/>
      <c r="T413" s="139"/>
      <c r="U413" s="31" t="s">
        <v>41</v>
      </c>
      <c r="V413" s="140">
        <v>3.623</v>
      </c>
      <c r="W413" s="140">
        <f>$V$413*$K$413</f>
        <v>5.65188</v>
      </c>
      <c r="X413" s="140">
        <v>0.11535</v>
      </c>
      <c r="Y413" s="140">
        <f>$X$413*$K$413</f>
        <v>0.179946</v>
      </c>
      <c r="Z413" s="140">
        <v>0</v>
      </c>
      <c r="AA413" s="141">
        <f>$Z$413*$K$413</f>
        <v>0</v>
      </c>
      <c r="AR413" s="7" t="s">
        <v>386</v>
      </c>
      <c r="AT413" s="7" t="s">
        <v>163</v>
      </c>
      <c r="AU413" s="7" t="s">
        <v>106</v>
      </c>
      <c r="AY413" s="7" t="s">
        <v>161</v>
      </c>
      <c r="BE413" s="89">
        <f>IF($U$413="základní",$N$413,0)</f>
        <v>0</v>
      </c>
      <c r="BF413" s="89">
        <f>IF($U$413="snížená",$N$413,0)</f>
        <v>0</v>
      </c>
      <c r="BG413" s="89">
        <f>IF($U$413="zákl. přenesená",$N$413,0)</f>
        <v>0</v>
      </c>
      <c r="BH413" s="89">
        <f>IF($U$413="sníž. přenesená",$N$413,0)</f>
        <v>0</v>
      </c>
      <c r="BI413" s="89">
        <f>IF($U$413="nulová",$N$413,0)</f>
        <v>0</v>
      </c>
      <c r="BJ413" s="7" t="s">
        <v>16</v>
      </c>
      <c r="BK413" s="89">
        <f>ROUND($L$413*$K$413,2)</f>
        <v>0</v>
      </c>
      <c r="BL413" s="7" t="s">
        <v>386</v>
      </c>
    </row>
    <row r="414" spans="2:51" s="7" customFormat="1" ht="15.75" customHeight="1">
      <c r="B414" s="142"/>
      <c r="C414" s="143"/>
      <c r="D414" s="143"/>
      <c r="E414" s="143"/>
      <c r="F414" s="215" t="s">
        <v>584</v>
      </c>
      <c r="G414" s="216"/>
      <c r="H414" s="216"/>
      <c r="I414" s="216"/>
      <c r="J414" s="143"/>
      <c r="K414" s="144">
        <v>1.56</v>
      </c>
      <c r="L414" s="143"/>
      <c r="M414" s="143"/>
      <c r="N414" s="143"/>
      <c r="O414" s="143"/>
      <c r="P414" s="143"/>
      <c r="Q414" s="143"/>
      <c r="R414" s="145"/>
      <c r="T414" s="146"/>
      <c r="U414" s="143"/>
      <c r="V414" s="143"/>
      <c r="W414" s="143"/>
      <c r="X414" s="143"/>
      <c r="Y414" s="143"/>
      <c r="Z414" s="143"/>
      <c r="AA414" s="147"/>
      <c r="AT414" s="148" t="s">
        <v>169</v>
      </c>
      <c r="AU414" s="148" t="s">
        <v>106</v>
      </c>
      <c r="AV414" s="148" t="s">
        <v>106</v>
      </c>
      <c r="AW414" s="148" t="s">
        <v>114</v>
      </c>
      <c r="AX414" s="148" t="s">
        <v>16</v>
      </c>
      <c r="AY414" s="148" t="s">
        <v>161</v>
      </c>
    </row>
    <row r="415" spans="2:64" s="7" customFormat="1" ht="27" customHeight="1">
      <c r="B415" s="23"/>
      <c r="C415" s="135" t="s">
        <v>585</v>
      </c>
      <c r="D415" s="135" t="s">
        <v>163</v>
      </c>
      <c r="E415" s="136" t="s">
        <v>586</v>
      </c>
      <c r="F415" s="217" t="s">
        <v>587</v>
      </c>
      <c r="G415" s="213"/>
      <c r="H415" s="213"/>
      <c r="I415" s="213"/>
      <c r="J415" s="137" t="s">
        <v>192</v>
      </c>
      <c r="K415" s="138">
        <v>0.18</v>
      </c>
      <c r="L415" s="212">
        <v>0</v>
      </c>
      <c r="M415" s="213"/>
      <c r="N415" s="214">
        <f>ROUND($L$415*$K$415,2)</f>
        <v>0</v>
      </c>
      <c r="O415" s="213"/>
      <c r="P415" s="213"/>
      <c r="Q415" s="213"/>
      <c r="R415" s="25"/>
      <c r="T415" s="139"/>
      <c r="U415" s="31" t="s">
        <v>41</v>
      </c>
      <c r="V415" s="140">
        <v>1.851</v>
      </c>
      <c r="W415" s="140">
        <f>$V$415*$K$415</f>
        <v>0.33318</v>
      </c>
      <c r="X415" s="140">
        <v>0</v>
      </c>
      <c r="Y415" s="140">
        <f>$X$415*$K$415</f>
        <v>0</v>
      </c>
      <c r="Z415" s="140">
        <v>0</v>
      </c>
      <c r="AA415" s="141">
        <f>$Z$415*$K$415</f>
        <v>0</v>
      </c>
      <c r="AR415" s="7" t="s">
        <v>386</v>
      </c>
      <c r="AT415" s="7" t="s">
        <v>163</v>
      </c>
      <c r="AU415" s="7" t="s">
        <v>106</v>
      </c>
      <c r="AY415" s="7" t="s">
        <v>161</v>
      </c>
      <c r="BE415" s="89">
        <f>IF($U$415="základní",$N$415,0)</f>
        <v>0</v>
      </c>
      <c r="BF415" s="89">
        <f>IF($U$415="snížená",$N$415,0)</f>
        <v>0</v>
      </c>
      <c r="BG415" s="89">
        <f>IF($U$415="zákl. přenesená",$N$415,0)</f>
        <v>0</v>
      </c>
      <c r="BH415" s="89">
        <f>IF($U$415="sníž. přenesená",$N$415,0)</f>
        <v>0</v>
      </c>
      <c r="BI415" s="89">
        <f>IF($U$415="nulová",$N$415,0)</f>
        <v>0</v>
      </c>
      <c r="BJ415" s="7" t="s">
        <v>16</v>
      </c>
      <c r="BK415" s="89">
        <f>ROUND($L$415*$K$415,2)</f>
        <v>0</v>
      </c>
      <c r="BL415" s="7" t="s">
        <v>386</v>
      </c>
    </row>
    <row r="416" spans="2:63" s="124" customFormat="1" ht="30.75" customHeight="1">
      <c r="B416" s="125"/>
      <c r="C416" s="126"/>
      <c r="D416" s="134" t="s">
        <v>128</v>
      </c>
      <c r="E416" s="126"/>
      <c r="F416" s="126"/>
      <c r="G416" s="126"/>
      <c r="H416" s="126"/>
      <c r="I416" s="126"/>
      <c r="J416" s="126"/>
      <c r="K416" s="126"/>
      <c r="L416" s="126"/>
      <c r="M416" s="126"/>
      <c r="N416" s="206">
        <f>$BK$416</f>
        <v>0</v>
      </c>
      <c r="O416" s="207"/>
      <c r="P416" s="207"/>
      <c r="Q416" s="207"/>
      <c r="R416" s="128"/>
      <c r="T416" s="129"/>
      <c r="U416" s="126"/>
      <c r="V416" s="126"/>
      <c r="W416" s="130">
        <f>SUM($W$417:$W$460)</f>
        <v>237.92155599999998</v>
      </c>
      <c r="X416" s="126"/>
      <c r="Y416" s="130">
        <f>SUM($Y$417:$Y$460)</f>
        <v>6.522457130000001</v>
      </c>
      <c r="Z416" s="126"/>
      <c r="AA416" s="131">
        <f>SUM($AA$417:$AA$460)</f>
        <v>6.4453000000000005</v>
      </c>
      <c r="AR416" s="132" t="s">
        <v>106</v>
      </c>
      <c r="AT416" s="132" t="s">
        <v>75</v>
      </c>
      <c r="AU416" s="132" t="s">
        <v>16</v>
      </c>
      <c r="AY416" s="132" t="s">
        <v>161</v>
      </c>
      <c r="BK416" s="133">
        <f>SUM($BK$417:$BK$460)</f>
        <v>0</v>
      </c>
    </row>
    <row r="417" spans="2:64" s="7" customFormat="1" ht="27" customHeight="1">
      <c r="B417" s="23"/>
      <c r="C417" s="135" t="s">
        <v>588</v>
      </c>
      <c r="D417" s="135" t="s">
        <v>163</v>
      </c>
      <c r="E417" s="136" t="s">
        <v>589</v>
      </c>
      <c r="F417" s="217" t="s">
        <v>590</v>
      </c>
      <c r="G417" s="213"/>
      <c r="H417" s="213"/>
      <c r="I417" s="213"/>
      <c r="J417" s="137" t="s">
        <v>268</v>
      </c>
      <c r="K417" s="138">
        <v>30</v>
      </c>
      <c r="L417" s="212">
        <v>0</v>
      </c>
      <c r="M417" s="213"/>
      <c r="N417" s="214">
        <f>ROUND($L$417*$K$417,2)</f>
        <v>0</v>
      </c>
      <c r="O417" s="213"/>
      <c r="P417" s="213"/>
      <c r="Q417" s="213"/>
      <c r="R417" s="25"/>
      <c r="T417" s="139"/>
      <c r="U417" s="31" t="s">
        <v>41</v>
      </c>
      <c r="V417" s="140">
        <v>0.454</v>
      </c>
      <c r="W417" s="140">
        <f>$V$417*$K$417</f>
        <v>13.620000000000001</v>
      </c>
      <c r="X417" s="140">
        <v>0</v>
      </c>
      <c r="Y417" s="140">
        <f>$X$417*$K$417</f>
        <v>0</v>
      </c>
      <c r="Z417" s="140">
        <v>0</v>
      </c>
      <c r="AA417" s="141">
        <f>$Z$417*$K$417</f>
        <v>0</v>
      </c>
      <c r="AR417" s="7" t="s">
        <v>386</v>
      </c>
      <c r="AT417" s="7" t="s">
        <v>163</v>
      </c>
      <c r="AU417" s="7" t="s">
        <v>106</v>
      </c>
      <c r="AY417" s="7" t="s">
        <v>161</v>
      </c>
      <c r="BE417" s="89">
        <f>IF($U$417="základní",$N$417,0)</f>
        <v>0</v>
      </c>
      <c r="BF417" s="89">
        <f>IF($U$417="snížená",$N$417,0)</f>
        <v>0</v>
      </c>
      <c r="BG417" s="89">
        <f>IF($U$417="zákl. přenesená",$N$417,0)</f>
        <v>0</v>
      </c>
      <c r="BH417" s="89">
        <f>IF($U$417="sníž. přenesená",$N$417,0)</f>
        <v>0</v>
      </c>
      <c r="BI417" s="89">
        <f>IF($U$417="nulová",$N$417,0)</f>
        <v>0</v>
      </c>
      <c r="BJ417" s="7" t="s">
        <v>16</v>
      </c>
      <c r="BK417" s="89">
        <f>ROUND($L$417*$K$417,2)</f>
        <v>0</v>
      </c>
      <c r="BL417" s="7" t="s">
        <v>386</v>
      </c>
    </row>
    <row r="418" spans="2:51" s="7" customFormat="1" ht="15.75" customHeight="1">
      <c r="B418" s="142"/>
      <c r="C418" s="143"/>
      <c r="D418" s="143"/>
      <c r="E418" s="143"/>
      <c r="F418" s="215" t="s">
        <v>591</v>
      </c>
      <c r="G418" s="216"/>
      <c r="H418" s="216"/>
      <c r="I418" s="216"/>
      <c r="J418" s="143"/>
      <c r="K418" s="144">
        <v>30</v>
      </c>
      <c r="L418" s="143"/>
      <c r="M418" s="143"/>
      <c r="N418" s="143"/>
      <c r="O418" s="143"/>
      <c r="P418" s="143"/>
      <c r="Q418" s="143"/>
      <c r="R418" s="145"/>
      <c r="T418" s="146"/>
      <c r="U418" s="143"/>
      <c r="V418" s="143"/>
      <c r="W418" s="143"/>
      <c r="X418" s="143"/>
      <c r="Y418" s="143"/>
      <c r="Z418" s="143"/>
      <c r="AA418" s="147"/>
      <c r="AT418" s="148" t="s">
        <v>169</v>
      </c>
      <c r="AU418" s="148" t="s">
        <v>106</v>
      </c>
      <c r="AV418" s="148" t="s">
        <v>106</v>
      </c>
      <c r="AW418" s="148" t="s">
        <v>114</v>
      </c>
      <c r="AX418" s="148" t="s">
        <v>16</v>
      </c>
      <c r="AY418" s="148" t="s">
        <v>161</v>
      </c>
    </row>
    <row r="419" spans="2:64" s="7" customFormat="1" ht="15.75" customHeight="1">
      <c r="B419" s="23"/>
      <c r="C419" s="156" t="s">
        <v>592</v>
      </c>
      <c r="D419" s="156" t="s">
        <v>201</v>
      </c>
      <c r="E419" s="157" t="s">
        <v>593</v>
      </c>
      <c r="F419" s="219" t="s">
        <v>594</v>
      </c>
      <c r="G419" s="220"/>
      <c r="H419" s="220"/>
      <c r="I419" s="220"/>
      <c r="J419" s="158" t="s">
        <v>166</v>
      </c>
      <c r="K419" s="159">
        <v>0.544</v>
      </c>
      <c r="L419" s="221">
        <v>0</v>
      </c>
      <c r="M419" s="220"/>
      <c r="N419" s="222">
        <f>ROUND($L$419*$K$419,2)</f>
        <v>0</v>
      </c>
      <c r="O419" s="213"/>
      <c r="P419" s="213"/>
      <c r="Q419" s="213"/>
      <c r="R419" s="25"/>
      <c r="T419" s="139"/>
      <c r="U419" s="31" t="s">
        <v>41</v>
      </c>
      <c r="V419" s="140">
        <v>0</v>
      </c>
      <c r="W419" s="140">
        <f>$V$419*$K$419</f>
        <v>0</v>
      </c>
      <c r="X419" s="140">
        <v>0.55</v>
      </c>
      <c r="Y419" s="140">
        <f>$X$419*$K$419</f>
        <v>0.2992</v>
      </c>
      <c r="Z419" s="140">
        <v>0</v>
      </c>
      <c r="AA419" s="141">
        <f>$Z$419*$K$419</f>
        <v>0</v>
      </c>
      <c r="AR419" s="7" t="s">
        <v>539</v>
      </c>
      <c r="AT419" s="7" t="s">
        <v>201</v>
      </c>
      <c r="AU419" s="7" t="s">
        <v>106</v>
      </c>
      <c r="AY419" s="7" t="s">
        <v>161</v>
      </c>
      <c r="BE419" s="89">
        <f>IF($U$419="základní",$N$419,0)</f>
        <v>0</v>
      </c>
      <c r="BF419" s="89">
        <f>IF($U$419="snížená",$N$419,0)</f>
        <v>0</v>
      </c>
      <c r="BG419" s="89">
        <f>IF($U$419="zákl. přenesená",$N$419,0)</f>
        <v>0</v>
      </c>
      <c r="BH419" s="89">
        <f>IF($U$419="sníž. přenesená",$N$419,0)</f>
        <v>0</v>
      </c>
      <c r="BI419" s="89">
        <f>IF($U$419="nulová",$N$419,0)</f>
        <v>0</v>
      </c>
      <c r="BJ419" s="7" t="s">
        <v>16</v>
      </c>
      <c r="BK419" s="89">
        <f>ROUND($L$419*$K$419,2)</f>
        <v>0</v>
      </c>
      <c r="BL419" s="7" t="s">
        <v>386</v>
      </c>
    </row>
    <row r="420" spans="2:47" s="7" customFormat="1" ht="25.5" customHeight="1">
      <c r="B420" s="23"/>
      <c r="C420" s="24"/>
      <c r="D420" s="24"/>
      <c r="E420" s="24"/>
      <c r="F420" s="218" t="s">
        <v>595</v>
      </c>
      <c r="G420" s="170"/>
      <c r="H420" s="170"/>
      <c r="I420" s="170"/>
      <c r="J420" s="24"/>
      <c r="K420" s="24"/>
      <c r="L420" s="24"/>
      <c r="M420" s="24"/>
      <c r="N420" s="24"/>
      <c r="O420" s="24"/>
      <c r="P420" s="24"/>
      <c r="Q420" s="24"/>
      <c r="R420" s="25"/>
      <c r="T420" s="60"/>
      <c r="U420" s="24"/>
      <c r="V420" s="24"/>
      <c r="W420" s="24"/>
      <c r="X420" s="24"/>
      <c r="Y420" s="24"/>
      <c r="Z420" s="24"/>
      <c r="AA420" s="61"/>
      <c r="AT420" s="7" t="s">
        <v>198</v>
      </c>
      <c r="AU420" s="7" t="s">
        <v>106</v>
      </c>
    </row>
    <row r="421" spans="2:51" s="7" customFormat="1" ht="15.75" customHeight="1">
      <c r="B421" s="142"/>
      <c r="C421" s="143"/>
      <c r="D421" s="143"/>
      <c r="E421" s="143"/>
      <c r="F421" s="215" t="s">
        <v>596</v>
      </c>
      <c r="G421" s="216"/>
      <c r="H421" s="216"/>
      <c r="I421" s="216"/>
      <c r="J421" s="143"/>
      <c r="K421" s="144">
        <v>0.544</v>
      </c>
      <c r="L421" s="143"/>
      <c r="M421" s="143"/>
      <c r="N421" s="143"/>
      <c r="O421" s="143"/>
      <c r="P421" s="143"/>
      <c r="Q421" s="143"/>
      <c r="R421" s="145"/>
      <c r="T421" s="146"/>
      <c r="U421" s="143"/>
      <c r="V421" s="143"/>
      <c r="W421" s="143"/>
      <c r="X421" s="143"/>
      <c r="Y421" s="143"/>
      <c r="Z421" s="143"/>
      <c r="AA421" s="147"/>
      <c r="AT421" s="148" t="s">
        <v>169</v>
      </c>
      <c r="AU421" s="148" t="s">
        <v>106</v>
      </c>
      <c r="AV421" s="148" t="s">
        <v>106</v>
      </c>
      <c r="AW421" s="148" t="s">
        <v>114</v>
      </c>
      <c r="AX421" s="148" t="s">
        <v>16</v>
      </c>
      <c r="AY421" s="148" t="s">
        <v>161</v>
      </c>
    </row>
    <row r="422" spans="2:64" s="7" customFormat="1" ht="27" customHeight="1">
      <c r="B422" s="23"/>
      <c r="C422" s="135" t="s">
        <v>597</v>
      </c>
      <c r="D422" s="135" t="s">
        <v>163</v>
      </c>
      <c r="E422" s="136" t="s">
        <v>598</v>
      </c>
      <c r="F422" s="217" t="s">
        <v>599</v>
      </c>
      <c r="G422" s="213"/>
      <c r="H422" s="213"/>
      <c r="I422" s="213"/>
      <c r="J422" s="137" t="s">
        <v>268</v>
      </c>
      <c r="K422" s="138">
        <v>75</v>
      </c>
      <c r="L422" s="212">
        <v>0</v>
      </c>
      <c r="M422" s="213"/>
      <c r="N422" s="214">
        <f>ROUND($L$422*$K$422,2)</f>
        <v>0</v>
      </c>
      <c r="O422" s="213"/>
      <c r="P422" s="213"/>
      <c r="Q422" s="213"/>
      <c r="R422" s="25"/>
      <c r="T422" s="139"/>
      <c r="U422" s="31" t="s">
        <v>41</v>
      </c>
      <c r="V422" s="140">
        <v>0.598</v>
      </c>
      <c r="W422" s="140">
        <f>$V$422*$K$422</f>
        <v>44.85</v>
      </c>
      <c r="X422" s="140">
        <v>8E-05</v>
      </c>
      <c r="Y422" s="140">
        <f>$X$422*$K$422</f>
        <v>0.006</v>
      </c>
      <c r="Z422" s="140">
        <v>0</v>
      </c>
      <c r="AA422" s="141">
        <f>$Z$422*$K$422</f>
        <v>0</v>
      </c>
      <c r="AR422" s="7" t="s">
        <v>386</v>
      </c>
      <c r="AT422" s="7" t="s">
        <v>163</v>
      </c>
      <c r="AU422" s="7" t="s">
        <v>106</v>
      </c>
      <c r="AY422" s="7" t="s">
        <v>161</v>
      </c>
      <c r="BE422" s="89">
        <f>IF($U$422="základní",$N$422,0)</f>
        <v>0</v>
      </c>
      <c r="BF422" s="89">
        <f>IF($U$422="snížená",$N$422,0)</f>
        <v>0</v>
      </c>
      <c r="BG422" s="89">
        <f>IF($U$422="zákl. přenesená",$N$422,0)</f>
        <v>0</v>
      </c>
      <c r="BH422" s="89">
        <f>IF($U$422="sníž. přenesená",$N$422,0)</f>
        <v>0</v>
      </c>
      <c r="BI422" s="89">
        <f>IF($U$422="nulová",$N$422,0)</f>
        <v>0</v>
      </c>
      <c r="BJ422" s="7" t="s">
        <v>16</v>
      </c>
      <c r="BK422" s="89">
        <f>ROUND($L$422*$K$422,2)</f>
        <v>0</v>
      </c>
      <c r="BL422" s="7" t="s">
        <v>386</v>
      </c>
    </row>
    <row r="423" spans="2:47" s="7" customFormat="1" ht="15.75" customHeight="1">
      <c r="B423" s="23"/>
      <c r="C423" s="24"/>
      <c r="D423" s="24"/>
      <c r="E423" s="24"/>
      <c r="F423" s="218" t="s">
        <v>600</v>
      </c>
      <c r="G423" s="170"/>
      <c r="H423" s="170"/>
      <c r="I423" s="170"/>
      <c r="J423" s="24"/>
      <c r="K423" s="24"/>
      <c r="L423" s="24"/>
      <c r="M423" s="24"/>
      <c r="N423" s="24"/>
      <c r="O423" s="24"/>
      <c r="P423" s="24"/>
      <c r="Q423" s="24"/>
      <c r="R423" s="25"/>
      <c r="T423" s="60"/>
      <c r="U423" s="24"/>
      <c r="V423" s="24"/>
      <c r="W423" s="24"/>
      <c r="X423" s="24"/>
      <c r="Y423" s="24"/>
      <c r="Z423" s="24"/>
      <c r="AA423" s="61"/>
      <c r="AT423" s="7" t="s">
        <v>198</v>
      </c>
      <c r="AU423" s="7" t="s">
        <v>106</v>
      </c>
    </row>
    <row r="424" spans="2:51" s="7" customFormat="1" ht="15.75" customHeight="1">
      <c r="B424" s="142"/>
      <c r="C424" s="143"/>
      <c r="D424" s="143"/>
      <c r="E424" s="143"/>
      <c r="F424" s="215" t="s">
        <v>601</v>
      </c>
      <c r="G424" s="216"/>
      <c r="H424" s="216"/>
      <c r="I424" s="216"/>
      <c r="J424" s="143"/>
      <c r="K424" s="144">
        <v>75</v>
      </c>
      <c r="L424" s="143"/>
      <c r="M424" s="143"/>
      <c r="N424" s="143"/>
      <c r="O424" s="143"/>
      <c r="P424" s="143"/>
      <c r="Q424" s="143"/>
      <c r="R424" s="145"/>
      <c r="T424" s="146"/>
      <c r="U424" s="143"/>
      <c r="V424" s="143"/>
      <c r="W424" s="143"/>
      <c r="X424" s="143"/>
      <c r="Y424" s="143"/>
      <c r="Z424" s="143"/>
      <c r="AA424" s="147"/>
      <c r="AT424" s="148" t="s">
        <v>169</v>
      </c>
      <c r="AU424" s="148" t="s">
        <v>106</v>
      </c>
      <c r="AV424" s="148" t="s">
        <v>106</v>
      </c>
      <c r="AW424" s="148" t="s">
        <v>114</v>
      </c>
      <c r="AX424" s="148" t="s">
        <v>16</v>
      </c>
      <c r="AY424" s="148" t="s">
        <v>161</v>
      </c>
    </row>
    <row r="425" spans="2:64" s="7" customFormat="1" ht="15.75" customHeight="1">
      <c r="B425" s="23"/>
      <c r="C425" s="156" t="s">
        <v>602</v>
      </c>
      <c r="D425" s="156" t="s">
        <v>201</v>
      </c>
      <c r="E425" s="157" t="s">
        <v>603</v>
      </c>
      <c r="F425" s="219" t="s">
        <v>604</v>
      </c>
      <c r="G425" s="220"/>
      <c r="H425" s="220"/>
      <c r="I425" s="220"/>
      <c r="J425" s="158" t="s">
        <v>166</v>
      </c>
      <c r="K425" s="159">
        <v>1.134</v>
      </c>
      <c r="L425" s="221">
        <v>0</v>
      </c>
      <c r="M425" s="220"/>
      <c r="N425" s="222">
        <f>ROUND($L$425*$K$425,2)</f>
        <v>0</v>
      </c>
      <c r="O425" s="213"/>
      <c r="P425" s="213"/>
      <c r="Q425" s="213"/>
      <c r="R425" s="25"/>
      <c r="T425" s="139"/>
      <c r="U425" s="31" t="s">
        <v>41</v>
      </c>
      <c r="V425" s="140">
        <v>0</v>
      </c>
      <c r="W425" s="140">
        <f>$V$425*$K$425</f>
        <v>0</v>
      </c>
      <c r="X425" s="140">
        <v>0.55</v>
      </c>
      <c r="Y425" s="140">
        <f>$X$425*$K$425</f>
        <v>0.6237</v>
      </c>
      <c r="Z425" s="140">
        <v>0</v>
      </c>
      <c r="AA425" s="141">
        <f>$Z$425*$K$425</f>
        <v>0</v>
      </c>
      <c r="AR425" s="7" t="s">
        <v>539</v>
      </c>
      <c r="AT425" s="7" t="s">
        <v>201</v>
      </c>
      <c r="AU425" s="7" t="s">
        <v>106</v>
      </c>
      <c r="AY425" s="7" t="s">
        <v>161</v>
      </c>
      <c r="BE425" s="89">
        <f>IF($U$425="základní",$N$425,0)</f>
        <v>0</v>
      </c>
      <c r="BF425" s="89">
        <f>IF($U$425="snížená",$N$425,0)</f>
        <v>0</v>
      </c>
      <c r="BG425" s="89">
        <f>IF($U$425="zákl. přenesená",$N$425,0)</f>
        <v>0</v>
      </c>
      <c r="BH425" s="89">
        <f>IF($U$425="sníž. přenesená",$N$425,0)</f>
        <v>0</v>
      </c>
      <c r="BI425" s="89">
        <f>IF($U$425="nulová",$N$425,0)</f>
        <v>0</v>
      </c>
      <c r="BJ425" s="7" t="s">
        <v>16</v>
      </c>
      <c r="BK425" s="89">
        <f>ROUND($L$425*$K$425,2)</f>
        <v>0</v>
      </c>
      <c r="BL425" s="7" t="s">
        <v>386</v>
      </c>
    </row>
    <row r="426" spans="2:51" s="7" customFormat="1" ht="15.75" customHeight="1">
      <c r="B426" s="142"/>
      <c r="C426" s="143"/>
      <c r="D426" s="143"/>
      <c r="E426" s="143"/>
      <c r="F426" s="215" t="s">
        <v>605</v>
      </c>
      <c r="G426" s="216"/>
      <c r="H426" s="216"/>
      <c r="I426" s="216"/>
      <c r="J426" s="143"/>
      <c r="K426" s="144">
        <v>1.134</v>
      </c>
      <c r="L426" s="143"/>
      <c r="M426" s="143"/>
      <c r="N426" s="143"/>
      <c r="O426" s="143"/>
      <c r="P426" s="143"/>
      <c r="Q426" s="143"/>
      <c r="R426" s="145"/>
      <c r="T426" s="146"/>
      <c r="U426" s="143"/>
      <c r="V426" s="143"/>
      <c r="W426" s="143"/>
      <c r="X426" s="143"/>
      <c r="Y426" s="143"/>
      <c r="Z426" s="143"/>
      <c r="AA426" s="147"/>
      <c r="AT426" s="148" t="s">
        <v>169</v>
      </c>
      <c r="AU426" s="148" t="s">
        <v>106</v>
      </c>
      <c r="AV426" s="148" t="s">
        <v>106</v>
      </c>
      <c r="AW426" s="148" t="s">
        <v>114</v>
      </c>
      <c r="AX426" s="148" t="s">
        <v>16</v>
      </c>
      <c r="AY426" s="148" t="s">
        <v>161</v>
      </c>
    </row>
    <row r="427" spans="2:64" s="7" customFormat="1" ht="27" customHeight="1">
      <c r="B427" s="23"/>
      <c r="C427" s="135" t="s">
        <v>606</v>
      </c>
      <c r="D427" s="135" t="s">
        <v>163</v>
      </c>
      <c r="E427" s="136" t="s">
        <v>607</v>
      </c>
      <c r="F427" s="217" t="s">
        <v>608</v>
      </c>
      <c r="G427" s="213"/>
      <c r="H427" s="213"/>
      <c r="I427" s="213"/>
      <c r="J427" s="137" t="s">
        <v>214</v>
      </c>
      <c r="K427" s="138">
        <v>5.6</v>
      </c>
      <c r="L427" s="212">
        <v>0</v>
      </c>
      <c r="M427" s="213"/>
      <c r="N427" s="214">
        <f>ROUND($L$427*$K$427,2)</f>
        <v>0</v>
      </c>
      <c r="O427" s="213"/>
      <c r="P427" s="213"/>
      <c r="Q427" s="213"/>
      <c r="R427" s="25"/>
      <c r="T427" s="139"/>
      <c r="U427" s="31" t="s">
        <v>41</v>
      </c>
      <c r="V427" s="140">
        <v>0.346</v>
      </c>
      <c r="W427" s="140">
        <f>$V$427*$K$427</f>
        <v>1.9375999999999998</v>
      </c>
      <c r="X427" s="140">
        <v>0</v>
      </c>
      <c r="Y427" s="140">
        <f>$X$427*$K$427</f>
        <v>0</v>
      </c>
      <c r="Z427" s="140">
        <v>0</v>
      </c>
      <c r="AA427" s="141">
        <f>$Z$427*$K$427</f>
        <v>0</v>
      </c>
      <c r="AR427" s="7" t="s">
        <v>386</v>
      </c>
      <c r="AT427" s="7" t="s">
        <v>163</v>
      </c>
      <c r="AU427" s="7" t="s">
        <v>106</v>
      </c>
      <c r="AY427" s="7" t="s">
        <v>161</v>
      </c>
      <c r="BE427" s="89">
        <f>IF($U$427="základní",$N$427,0)</f>
        <v>0</v>
      </c>
      <c r="BF427" s="89">
        <f>IF($U$427="snížená",$N$427,0)</f>
        <v>0</v>
      </c>
      <c r="BG427" s="89">
        <f>IF($U$427="zákl. přenesená",$N$427,0)</f>
        <v>0</v>
      </c>
      <c r="BH427" s="89">
        <f>IF($U$427="sníž. přenesená",$N$427,0)</f>
        <v>0</v>
      </c>
      <c r="BI427" s="89">
        <f>IF($U$427="nulová",$N$427,0)</f>
        <v>0</v>
      </c>
      <c r="BJ427" s="7" t="s">
        <v>16</v>
      </c>
      <c r="BK427" s="89">
        <f>ROUND($L$427*$K$427,2)</f>
        <v>0</v>
      </c>
      <c r="BL427" s="7" t="s">
        <v>386</v>
      </c>
    </row>
    <row r="428" spans="2:47" s="7" customFormat="1" ht="15.75" customHeight="1">
      <c r="B428" s="23"/>
      <c r="C428" s="24"/>
      <c r="D428" s="24"/>
      <c r="E428" s="24"/>
      <c r="F428" s="218" t="s">
        <v>609</v>
      </c>
      <c r="G428" s="170"/>
      <c r="H428" s="170"/>
      <c r="I428" s="170"/>
      <c r="J428" s="24"/>
      <c r="K428" s="24"/>
      <c r="L428" s="24"/>
      <c r="M428" s="24"/>
      <c r="N428" s="24"/>
      <c r="O428" s="24"/>
      <c r="P428" s="24"/>
      <c r="Q428" s="24"/>
      <c r="R428" s="25"/>
      <c r="T428" s="60"/>
      <c r="U428" s="24"/>
      <c r="V428" s="24"/>
      <c r="W428" s="24"/>
      <c r="X428" s="24"/>
      <c r="Y428" s="24"/>
      <c r="Z428" s="24"/>
      <c r="AA428" s="61"/>
      <c r="AT428" s="7" t="s">
        <v>198</v>
      </c>
      <c r="AU428" s="7" t="s">
        <v>106</v>
      </c>
    </row>
    <row r="429" spans="2:51" s="7" customFormat="1" ht="15.75" customHeight="1">
      <c r="B429" s="142"/>
      <c r="C429" s="143"/>
      <c r="D429" s="143"/>
      <c r="E429" s="143"/>
      <c r="F429" s="215" t="s">
        <v>610</v>
      </c>
      <c r="G429" s="216"/>
      <c r="H429" s="216"/>
      <c r="I429" s="216"/>
      <c r="J429" s="143"/>
      <c r="K429" s="144">
        <v>5.6</v>
      </c>
      <c r="L429" s="143"/>
      <c r="M429" s="143"/>
      <c r="N429" s="143"/>
      <c r="O429" s="143"/>
      <c r="P429" s="143"/>
      <c r="Q429" s="143"/>
      <c r="R429" s="145"/>
      <c r="T429" s="146"/>
      <c r="U429" s="143"/>
      <c r="V429" s="143"/>
      <c r="W429" s="143"/>
      <c r="X429" s="143"/>
      <c r="Y429" s="143"/>
      <c r="Z429" s="143"/>
      <c r="AA429" s="147"/>
      <c r="AT429" s="148" t="s">
        <v>169</v>
      </c>
      <c r="AU429" s="148" t="s">
        <v>106</v>
      </c>
      <c r="AV429" s="148" t="s">
        <v>106</v>
      </c>
      <c r="AW429" s="148" t="s">
        <v>114</v>
      </c>
      <c r="AX429" s="148" t="s">
        <v>16</v>
      </c>
      <c r="AY429" s="148" t="s">
        <v>161</v>
      </c>
    </row>
    <row r="430" spans="2:64" s="7" customFormat="1" ht="15.75" customHeight="1">
      <c r="B430" s="23"/>
      <c r="C430" s="135" t="s">
        <v>611</v>
      </c>
      <c r="D430" s="135" t="s">
        <v>163</v>
      </c>
      <c r="E430" s="136" t="s">
        <v>612</v>
      </c>
      <c r="F430" s="217" t="s">
        <v>613</v>
      </c>
      <c r="G430" s="213"/>
      <c r="H430" s="213"/>
      <c r="I430" s="213"/>
      <c r="J430" s="137" t="s">
        <v>214</v>
      </c>
      <c r="K430" s="138">
        <v>5.6</v>
      </c>
      <c r="L430" s="212">
        <v>0</v>
      </c>
      <c r="M430" s="213"/>
      <c r="N430" s="214">
        <f>ROUND($L$430*$K$430,2)</f>
        <v>0</v>
      </c>
      <c r="O430" s="213"/>
      <c r="P430" s="213"/>
      <c r="Q430" s="213"/>
      <c r="R430" s="25"/>
      <c r="T430" s="139"/>
      <c r="U430" s="31" t="s">
        <v>41</v>
      </c>
      <c r="V430" s="140">
        <v>0.09</v>
      </c>
      <c r="W430" s="140">
        <f>$V$430*$K$430</f>
        <v>0.504</v>
      </c>
      <c r="X430" s="140">
        <v>0</v>
      </c>
      <c r="Y430" s="140">
        <f>$X$430*$K$430</f>
        <v>0</v>
      </c>
      <c r="Z430" s="140">
        <v>0.015</v>
      </c>
      <c r="AA430" s="141">
        <f>$Z$430*$K$430</f>
        <v>0.08399999999999999</v>
      </c>
      <c r="AR430" s="7" t="s">
        <v>386</v>
      </c>
      <c r="AT430" s="7" t="s">
        <v>163</v>
      </c>
      <c r="AU430" s="7" t="s">
        <v>106</v>
      </c>
      <c r="AY430" s="7" t="s">
        <v>161</v>
      </c>
      <c r="BE430" s="89">
        <f>IF($U$430="základní",$N$430,0)</f>
        <v>0</v>
      </c>
      <c r="BF430" s="89">
        <f>IF($U$430="snížená",$N$430,0)</f>
        <v>0</v>
      </c>
      <c r="BG430" s="89">
        <f>IF($U$430="zákl. přenesená",$N$430,0)</f>
        <v>0</v>
      </c>
      <c r="BH430" s="89">
        <f>IF($U$430="sníž. přenesená",$N$430,0)</f>
        <v>0</v>
      </c>
      <c r="BI430" s="89">
        <f>IF($U$430="nulová",$N$430,0)</f>
        <v>0</v>
      </c>
      <c r="BJ430" s="7" t="s">
        <v>16</v>
      </c>
      <c r="BK430" s="89">
        <f>ROUND($L$430*$K$430,2)</f>
        <v>0</v>
      </c>
      <c r="BL430" s="7" t="s">
        <v>386</v>
      </c>
    </row>
    <row r="431" spans="2:51" s="7" customFormat="1" ht="15.75" customHeight="1">
      <c r="B431" s="142"/>
      <c r="C431" s="143"/>
      <c r="D431" s="143"/>
      <c r="E431" s="143"/>
      <c r="F431" s="215" t="s">
        <v>610</v>
      </c>
      <c r="G431" s="216"/>
      <c r="H431" s="216"/>
      <c r="I431" s="216"/>
      <c r="J431" s="143"/>
      <c r="K431" s="144">
        <v>5.6</v>
      </c>
      <c r="L431" s="143"/>
      <c r="M431" s="143"/>
      <c r="N431" s="143"/>
      <c r="O431" s="143"/>
      <c r="P431" s="143"/>
      <c r="Q431" s="143"/>
      <c r="R431" s="145"/>
      <c r="T431" s="146"/>
      <c r="U431" s="143"/>
      <c r="V431" s="143"/>
      <c r="W431" s="143"/>
      <c r="X431" s="143"/>
      <c r="Y431" s="143"/>
      <c r="Z431" s="143"/>
      <c r="AA431" s="147"/>
      <c r="AT431" s="148" t="s">
        <v>169</v>
      </c>
      <c r="AU431" s="148" t="s">
        <v>106</v>
      </c>
      <c r="AV431" s="148" t="s">
        <v>106</v>
      </c>
      <c r="AW431" s="148" t="s">
        <v>114</v>
      </c>
      <c r="AX431" s="148" t="s">
        <v>16</v>
      </c>
      <c r="AY431" s="148" t="s">
        <v>161</v>
      </c>
    </row>
    <row r="432" spans="2:64" s="7" customFormat="1" ht="27" customHeight="1">
      <c r="B432" s="23"/>
      <c r="C432" s="135" t="s">
        <v>614</v>
      </c>
      <c r="D432" s="135" t="s">
        <v>163</v>
      </c>
      <c r="E432" s="136" t="s">
        <v>615</v>
      </c>
      <c r="F432" s="217" t="s">
        <v>616</v>
      </c>
      <c r="G432" s="213"/>
      <c r="H432" s="213"/>
      <c r="I432" s="213"/>
      <c r="J432" s="137" t="s">
        <v>214</v>
      </c>
      <c r="K432" s="138">
        <v>30</v>
      </c>
      <c r="L432" s="212">
        <v>0</v>
      </c>
      <c r="M432" s="213"/>
      <c r="N432" s="214">
        <f>ROUND($L$432*$K$432,2)</f>
        <v>0</v>
      </c>
      <c r="O432" s="213"/>
      <c r="P432" s="213"/>
      <c r="Q432" s="213"/>
      <c r="R432" s="25"/>
      <c r="T432" s="139"/>
      <c r="U432" s="31" t="s">
        <v>41</v>
      </c>
      <c r="V432" s="140">
        <v>0.12</v>
      </c>
      <c r="W432" s="140">
        <f>$V$432*$K$432</f>
        <v>3.5999999999999996</v>
      </c>
      <c r="X432" s="140">
        <v>0</v>
      </c>
      <c r="Y432" s="140">
        <f>$X$432*$K$432</f>
        <v>0</v>
      </c>
      <c r="Z432" s="140">
        <v>0.007</v>
      </c>
      <c r="AA432" s="141">
        <f>$Z$432*$K$432</f>
        <v>0.21</v>
      </c>
      <c r="AR432" s="7" t="s">
        <v>386</v>
      </c>
      <c r="AT432" s="7" t="s">
        <v>163</v>
      </c>
      <c r="AU432" s="7" t="s">
        <v>106</v>
      </c>
      <c r="AY432" s="7" t="s">
        <v>161</v>
      </c>
      <c r="BE432" s="89">
        <f>IF($U$432="základní",$N$432,0)</f>
        <v>0</v>
      </c>
      <c r="BF432" s="89">
        <f>IF($U$432="snížená",$N$432,0)</f>
        <v>0</v>
      </c>
      <c r="BG432" s="89">
        <f>IF($U$432="zákl. přenesená",$N$432,0)</f>
        <v>0</v>
      </c>
      <c r="BH432" s="89">
        <f>IF($U$432="sníž. přenesená",$N$432,0)</f>
        <v>0</v>
      </c>
      <c r="BI432" s="89">
        <f>IF($U$432="nulová",$N$432,0)</f>
        <v>0</v>
      </c>
      <c r="BJ432" s="7" t="s">
        <v>16</v>
      </c>
      <c r="BK432" s="89">
        <f>ROUND($L$432*$K$432,2)</f>
        <v>0</v>
      </c>
      <c r="BL432" s="7" t="s">
        <v>386</v>
      </c>
    </row>
    <row r="433" spans="2:51" s="7" customFormat="1" ht="15.75" customHeight="1">
      <c r="B433" s="142"/>
      <c r="C433" s="143"/>
      <c r="D433" s="143"/>
      <c r="E433" s="143"/>
      <c r="F433" s="215" t="s">
        <v>617</v>
      </c>
      <c r="G433" s="216"/>
      <c r="H433" s="216"/>
      <c r="I433" s="216"/>
      <c r="J433" s="143"/>
      <c r="K433" s="144">
        <v>30</v>
      </c>
      <c r="L433" s="143"/>
      <c r="M433" s="143"/>
      <c r="N433" s="143"/>
      <c r="O433" s="143"/>
      <c r="P433" s="143"/>
      <c r="Q433" s="143"/>
      <c r="R433" s="145"/>
      <c r="T433" s="146"/>
      <c r="U433" s="143"/>
      <c r="V433" s="143"/>
      <c r="W433" s="143"/>
      <c r="X433" s="143"/>
      <c r="Y433" s="143"/>
      <c r="Z433" s="143"/>
      <c r="AA433" s="147"/>
      <c r="AT433" s="148" t="s">
        <v>169</v>
      </c>
      <c r="AU433" s="148" t="s">
        <v>106</v>
      </c>
      <c r="AV433" s="148" t="s">
        <v>106</v>
      </c>
      <c r="AW433" s="148" t="s">
        <v>114</v>
      </c>
      <c r="AX433" s="148" t="s">
        <v>16</v>
      </c>
      <c r="AY433" s="148" t="s">
        <v>161</v>
      </c>
    </row>
    <row r="434" spans="2:64" s="7" customFormat="1" ht="27" customHeight="1">
      <c r="B434" s="23"/>
      <c r="C434" s="135" t="s">
        <v>618</v>
      </c>
      <c r="D434" s="135" t="s">
        <v>163</v>
      </c>
      <c r="E434" s="136" t="s">
        <v>619</v>
      </c>
      <c r="F434" s="217" t="s">
        <v>620</v>
      </c>
      <c r="G434" s="213"/>
      <c r="H434" s="213"/>
      <c r="I434" s="213"/>
      <c r="J434" s="137" t="s">
        <v>214</v>
      </c>
      <c r="K434" s="138">
        <v>30</v>
      </c>
      <c r="L434" s="212">
        <v>0</v>
      </c>
      <c r="M434" s="213"/>
      <c r="N434" s="214">
        <f>ROUND($L$434*$K$434,2)</f>
        <v>0</v>
      </c>
      <c r="O434" s="213"/>
      <c r="P434" s="213"/>
      <c r="Q434" s="213"/>
      <c r="R434" s="25"/>
      <c r="T434" s="139"/>
      <c r="U434" s="31" t="s">
        <v>41</v>
      </c>
      <c r="V434" s="140">
        <v>0.135</v>
      </c>
      <c r="W434" s="140">
        <f>$V$434*$K$434</f>
        <v>4.050000000000001</v>
      </c>
      <c r="X434" s="140">
        <v>0</v>
      </c>
      <c r="Y434" s="140">
        <f>$X$434*$K$434</f>
        <v>0</v>
      </c>
      <c r="Z434" s="140">
        <v>0</v>
      </c>
      <c r="AA434" s="141">
        <f>$Z$434*$K$434</f>
        <v>0</v>
      </c>
      <c r="AR434" s="7" t="s">
        <v>386</v>
      </c>
      <c r="AT434" s="7" t="s">
        <v>163</v>
      </c>
      <c r="AU434" s="7" t="s">
        <v>106</v>
      </c>
      <c r="AY434" s="7" t="s">
        <v>161</v>
      </c>
      <c r="BE434" s="89">
        <f>IF($U$434="základní",$N$434,0)</f>
        <v>0</v>
      </c>
      <c r="BF434" s="89">
        <f>IF($U$434="snížená",$N$434,0)</f>
        <v>0</v>
      </c>
      <c r="BG434" s="89">
        <f>IF($U$434="zákl. přenesená",$N$434,0)</f>
        <v>0</v>
      </c>
      <c r="BH434" s="89">
        <f>IF($U$434="sníž. přenesená",$N$434,0)</f>
        <v>0</v>
      </c>
      <c r="BI434" s="89">
        <f>IF($U$434="nulová",$N$434,0)</f>
        <v>0</v>
      </c>
      <c r="BJ434" s="7" t="s">
        <v>16</v>
      </c>
      <c r="BK434" s="89">
        <f>ROUND($L$434*$K$434,2)</f>
        <v>0</v>
      </c>
      <c r="BL434" s="7" t="s">
        <v>386</v>
      </c>
    </row>
    <row r="435" spans="2:51" s="7" customFormat="1" ht="15.75" customHeight="1">
      <c r="B435" s="142"/>
      <c r="C435" s="143"/>
      <c r="D435" s="143"/>
      <c r="E435" s="143"/>
      <c r="F435" s="215" t="s">
        <v>617</v>
      </c>
      <c r="G435" s="216"/>
      <c r="H435" s="216"/>
      <c r="I435" s="216"/>
      <c r="J435" s="143"/>
      <c r="K435" s="144">
        <v>30</v>
      </c>
      <c r="L435" s="143"/>
      <c r="M435" s="143"/>
      <c r="N435" s="143"/>
      <c r="O435" s="143"/>
      <c r="P435" s="143"/>
      <c r="Q435" s="143"/>
      <c r="R435" s="145"/>
      <c r="T435" s="146"/>
      <c r="U435" s="143"/>
      <c r="V435" s="143"/>
      <c r="W435" s="143"/>
      <c r="X435" s="143"/>
      <c r="Y435" s="143"/>
      <c r="Z435" s="143"/>
      <c r="AA435" s="147"/>
      <c r="AT435" s="148" t="s">
        <v>169</v>
      </c>
      <c r="AU435" s="148" t="s">
        <v>106</v>
      </c>
      <c r="AV435" s="148" t="s">
        <v>106</v>
      </c>
      <c r="AW435" s="148" t="s">
        <v>114</v>
      </c>
      <c r="AX435" s="148" t="s">
        <v>16</v>
      </c>
      <c r="AY435" s="148" t="s">
        <v>161</v>
      </c>
    </row>
    <row r="436" spans="2:64" s="7" customFormat="1" ht="15.75" customHeight="1">
      <c r="B436" s="23"/>
      <c r="C436" s="156" t="s">
        <v>621</v>
      </c>
      <c r="D436" s="156" t="s">
        <v>201</v>
      </c>
      <c r="E436" s="157" t="s">
        <v>622</v>
      </c>
      <c r="F436" s="219" t="s">
        <v>623</v>
      </c>
      <c r="G436" s="220"/>
      <c r="H436" s="220"/>
      <c r="I436" s="220"/>
      <c r="J436" s="158" t="s">
        <v>166</v>
      </c>
      <c r="K436" s="159">
        <v>0.555</v>
      </c>
      <c r="L436" s="221">
        <v>0</v>
      </c>
      <c r="M436" s="220"/>
      <c r="N436" s="222">
        <f>ROUND($L$436*$K$436,2)</f>
        <v>0</v>
      </c>
      <c r="O436" s="213"/>
      <c r="P436" s="213"/>
      <c r="Q436" s="213"/>
      <c r="R436" s="25"/>
      <c r="T436" s="139"/>
      <c r="U436" s="31" t="s">
        <v>41</v>
      </c>
      <c r="V436" s="140">
        <v>0</v>
      </c>
      <c r="W436" s="140">
        <f>$V$436*$K$436</f>
        <v>0</v>
      </c>
      <c r="X436" s="140">
        <v>0.55</v>
      </c>
      <c r="Y436" s="140">
        <f>$X$436*$K$436</f>
        <v>0.3052500000000001</v>
      </c>
      <c r="Z436" s="140">
        <v>0</v>
      </c>
      <c r="AA436" s="141">
        <f>$Z$436*$K$436</f>
        <v>0</v>
      </c>
      <c r="AR436" s="7" t="s">
        <v>539</v>
      </c>
      <c r="AT436" s="7" t="s">
        <v>201</v>
      </c>
      <c r="AU436" s="7" t="s">
        <v>106</v>
      </c>
      <c r="AY436" s="7" t="s">
        <v>161</v>
      </c>
      <c r="BE436" s="89">
        <f>IF($U$436="základní",$N$436,0)</f>
        <v>0</v>
      </c>
      <c r="BF436" s="89">
        <f>IF($U$436="snížená",$N$436,0)</f>
        <v>0</v>
      </c>
      <c r="BG436" s="89">
        <f>IF($U$436="zákl. přenesená",$N$436,0)</f>
        <v>0</v>
      </c>
      <c r="BH436" s="89">
        <f>IF($U$436="sníž. přenesená",$N$436,0)</f>
        <v>0</v>
      </c>
      <c r="BI436" s="89">
        <f>IF($U$436="nulová",$N$436,0)</f>
        <v>0</v>
      </c>
      <c r="BJ436" s="7" t="s">
        <v>16</v>
      </c>
      <c r="BK436" s="89">
        <f>ROUND($L$436*$K$436,2)</f>
        <v>0</v>
      </c>
      <c r="BL436" s="7" t="s">
        <v>386</v>
      </c>
    </row>
    <row r="437" spans="2:47" s="7" customFormat="1" ht="15.75" customHeight="1">
      <c r="B437" s="23"/>
      <c r="C437" s="24"/>
      <c r="D437" s="24"/>
      <c r="E437" s="24"/>
      <c r="F437" s="218" t="s">
        <v>624</v>
      </c>
      <c r="G437" s="170"/>
      <c r="H437" s="170"/>
      <c r="I437" s="170"/>
      <c r="J437" s="24"/>
      <c r="K437" s="24"/>
      <c r="L437" s="24"/>
      <c r="M437" s="24"/>
      <c r="N437" s="24"/>
      <c r="O437" s="24"/>
      <c r="P437" s="24"/>
      <c r="Q437" s="24"/>
      <c r="R437" s="25"/>
      <c r="T437" s="60"/>
      <c r="U437" s="24"/>
      <c r="V437" s="24"/>
      <c r="W437" s="24"/>
      <c r="X437" s="24"/>
      <c r="Y437" s="24"/>
      <c r="Z437" s="24"/>
      <c r="AA437" s="61"/>
      <c r="AT437" s="7" t="s">
        <v>198</v>
      </c>
      <c r="AU437" s="7" t="s">
        <v>106</v>
      </c>
    </row>
    <row r="438" spans="2:51" s="7" customFormat="1" ht="15.75" customHeight="1">
      <c r="B438" s="142"/>
      <c r="C438" s="143"/>
      <c r="D438" s="143"/>
      <c r="E438" s="143"/>
      <c r="F438" s="215" t="s">
        <v>625</v>
      </c>
      <c r="G438" s="216"/>
      <c r="H438" s="216"/>
      <c r="I438" s="216"/>
      <c r="J438" s="143"/>
      <c r="K438" s="144">
        <v>0.555</v>
      </c>
      <c r="L438" s="143"/>
      <c r="M438" s="143"/>
      <c r="N438" s="143"/>
      <c r="O438" s="143"/>
      <c r="P438" s="143"/>
      <c r="Q438" s="143"/>
      <c r="R438" s="145"/>
      <c r="T438" s="146"/>
      <c r="U438" s="143"/>
      <c r="V438" s="143"/>
      <c r="W438" s="143"/>
      <c r="X438" s="143"/>
      <c r="Y438" s="143"/>
      <c r="Z438" s="143"/>
      <c r="AA438" s="147"/>
      <c r="AT438" s="148" t="s">
        <v>169</v>
      </c>
      <c r="AU438" s="148" t="s">
        <v>106</v>
      </c>
      <c r="AV438" s="148" t="s">
        <v>106</v>
      </c>
      <c r="AW438" s="148" t="s">
        <v>114</v>
      </c>
      <c r="AX438" s="148" t="s">
        <v>16</v>
      </c>
      <c r="AY438" s="148" t="s">
        <v>161</v>
      </c>
    </row>
    <row r="439" spans="2:64" s="7" customFormat="1" ht="15.75" customHeight="1">
      <c r="B439" s="23"/>
      <c r="C439" s="135" t="s">
        <v>516</v>
      </c>
      <c r="D439" s="135" t="s">
        <v>163</v>
      </c>
      <c r="E439" s="136" t="s">
        <v>626</v>
      </c>
      <c r="F439" s="217" t="s">
        <v>627</v>
      </c>
      <c r="G439" s="213"/>
      <c r="H439" s="213"/>
      <c r="I439" s="213"/>
      <c r="J439" s="137" t="s">
        <v>214</v>
      </c>
      <c r="K439" s="138">
        <v>54.8</v>
      </c>
      <c r="L439" s="212">
        <v>0</v>
      </c>
      <c r="M439" s="213"/>
      <c r="N439" s="214">
        <f>ROUND($L$439*$K$439,2)</f>
        <v>0</v>
      </c>
      <c r="O439" s="213"/>
      <c r="P439" s="213"/>
      <c r="Q439" s="213"/>
      <c r="R439" s="25"/>
      <c r="T439" s="139"/>
      <c r="U439" s="31" t="s">
        <v>41</v>
      </c>
      <c r="V439" s="140">
        <v>0.39</v>
      </c>
      <c r="W439" s="140">
        <f>$V$439*$K$439</f>
        <v>21.372</v>
      </c>
      <c r="X439" s="140">
        <v>0</v>
      </c>
      <c r="Y439" s="140">
        <f>$X$439*$K$439</f>
        <v>0</v>
      </c>
      <c r="Z439" s="140">
        <v>0.034</v>
      </c>
      <c r="AA439" s="141">
        <f>$Z$439*$K$439</f>
        <v>1.8632</v>
      </c>
      <c r="AR439" s="7" t="s">
        <v>386</v>
      </c>
      <c r="AT439" s="7" t="s">
        <v>163</v>
      </c>
      <c r="AU439" s="7" t="s">
        <v>106</v>
      </c>
      <c r="AY439" s="7" t="s">
        <v>161</v>
      </c>
      <c r="BE439" s="89">
        <f>IF($U$439="základní",$N$439,0)</f>
        <v>0</v>
      </c>
      <c r="BF439" s="89">
        <f>IF($U$439="snížená",$N$439,0)</f>
        <v>0</v>
      </c>
      <c r="BG439" s="89">
        <f>IF($U$439="zákl. přenesená",$N$439,0)</f>
        <v>0</v>
      </c>
      <c r="BH439" s="89">
        <f>IF($U$439="sníž. přenesená",$N$439,0)</f>
        <v>0</v>
      </c>
      <c r="BI439" s="89">
        <f>IF($U$439="nulová",$N$439,0)</f>
        <v>0</v>
      </c>
      <c r="BJ439" s="7" t="s">
        <v>16</v>
      </c>
      <c r="BK439" s="89">
        <f>ROUND($L$439*$K$439,2)</f>
        <v>0</v>
      </c>
      <c r="BL439" s="7" t="s">
        <v>386</v>
      </c>
    </row>
    <row r="440" spans="2:51" s="7" customFormat="1" ht="15.75" customHeight="1">
      <c r="B440" s="142"/>
      <c r="C440" s="143"/>
      <c r="D440" s="143"/>
      <c r="E440" s="143"/>
      <c r="F440" s="215" t="s">
        <v>628</v>
      </c>
      <c r="G440" s="216"/>
      <c r="H440" s="216"/>
      <c r="I440" s="216"/>
      <c r="J440" s="143"/>
      <c r="K440" s="144">
        <v>54.8</v>
      </c>
      <c r="L440" s="143"/>
      <c r="M440" s="143"/>
      <c r="N440" s="143"/>
      <c r="O440" s="143"/>
      <c r="P440" s="143"/>
      <c r="Q440" s="143"/>
      <c r="R440" s="145"/>
      <c r="T440" s="146"/>
      <c r="U440" s="143"/>
      <c r="V440" s="143"/>
      <c r="W440" s="143"/>
      <c r="X440" s="143"/>
      <c r="Y440" s="143"/>
      <c r="Z440" s="143"/>
      <c r="AA440" s="147"/>
      <c r="AT440" s="148" t="s">
        <v>169</v>
      </c>
      <c r="AU440" s="148" t="s">
        <v>106</v>
      </c>
      <c r="AV440" s="148" t="s">
        <v>106</v>
      </c>
      <c r="AW440" s="148" t="s">
        <v>114</v>
      </c>
      <c r="AX440" s="148" t="s">
        <v>16</v>
      </c>
      <c r="AY440" s="148" t="s">
        <v>161</v>
      </c>
    </row>
    <row r="441" spans="2:64" s="7" customFormat="1" ht="27" customHeight="1">
      <c r="B441" s="23"/>
      <c r="C441" s="135" t="s">
        <v>106</v>
      </c>
      <c r="D441" s="135" t="s">
        <v>163</v>
      </c>
      <c r="E441" s="136" t="s">
        <v>629</v>
      </c>
      <c r="F441" s="217" t="s">
        <v>630</v>
      </c>
      <c r="G441" s="213"/>
      <c r="H441" s="213"/>
      <c r="I441" s="213"/>
      <c r="J441" s="137" t="s">
        <v>268</v>
      </c>
      <c r="K441" s="138">
        <v>13.2</v>
      </c>
      <c r="L441" s="212">
        <v>0</v>
      </c>
      <c r="M441" s="213"/>
      <c r="N441" s="214">
        <f>ROUND($L$441*$K$441,2)</f>
        <v>0</v>
      </c>
      <c r="O441" s="213"/>
      <c r="P441" s="213"/>
      <c r="Q441" s="213"/>
      <c r="R441" s="25"/>
      <c r="T441" s="139"/>
      <c r="U441" s="31" t="s">
        <v>41</v>
      </c>
      <c r="V441" s="140">
        <v>0.126</v>
      </c>
      <c r="W441" s="140">
        <f>$V$441*$K$441</f>
        <v>1.6632</v>
      </c>
      <c r="X441" s="140">
        <v>0</v>
      </c>
      <c r="Y441" s="140">
        <f>$X$441*$K$441</f>
        <v>0</v>
      </c>
      <c r="Z441" s="140">
        <v>0.013</v>
      </c>
      <c r="AA441" s="141">
        <f>$Z$441*$K$441</f>
        <v>0.17159999999999997</v>
      </c>
      <c r="AR441" s="7" t="s">
        <v>386</v>
      </c>
      <c r="AT441" s="7" t="s">
        <v>163</v>
      </c>
      <c r="AU441" s="7" t="s">
        <v>106</v>
      </c>
      <c r="AY441" s="7" t="s">
        <v>161</v>
      </c>
      <c r="BE441" s="89">
        <f>IF($U$441="základní",$N$441,0)</f>
        <v>0</v>
      </c>
      <c r="BF441" s="89">
        <f>IF($U$441="snížená",$N$441,0)</f>
        <v>0</v>
      </c>
      <c r="BG441" s="89">
        <f>IF($U$441="zákl. přenesená",$N$441,0)</f>
        <v>0</v>
      </c>
      <c r="BH441" s="89">
        <f>IF($U$441="sníž. přenesená",$N$441,0)</f>
        <v>0</v>
      </c>
      <c r="BI441" s="89">
        <f>IF($U$441="nulová",$N$441,0)</f>
        <v>0</v>
      </c>
      <c r="BJ441" s="7" t="s">
        <v>16</v>
      </c>
      <c r="BK441" s="89">
        <f>ROUND($L$441*$K$441,2)</f>
        <v>0</v>
      </c>
      <c r="BL441" s="7" t="s">
        <v>386</v>
      </c>
    </row>
    <row r="442" spans="2:51" s="7" customFormat="1" ht="15.75" customHeight="1">
      <c r="B442" s="142"/>
      <c r="C442" s="143"/>
      <c r="D442" s="143"/>
      <c r="E442" s="143"/>
      <c r="F442" s="215" t="s">
        <v>631</v>
      </c>
      <c r="G442" s="216"/>
      <c r="H442" s="216"/>
      <c r="I442" s="216"/>
      <c r="J442" s="143"/>
      <c r="K442" s="144">
        <v>13.2</v>
      </c>
      <c r="L442" s="143"/>
      <c r="M442" s="143"/>
      <c r="N442" s="143"/>
      <c r="O442" s="143"/>
      <c r="P442" s="143"/>
      <c r="Q442" s="143"/>
      <c r="R442" s="145"/>
      <c r="T442" s="146"/>
      <c r="U442" s="143"/>
      <c r="V442" s="143"/>
      <c r="W442" s="143"/>
      <c r="X442" s="143"/>
      <c r="Y442" s="143"/>
      <c r="Z442" s="143"/>
      <c r="AA442" s="147"/>
      <c r="AT442" s="148" t="s">
        <v>169</v>
      </c>
      <c r="AU442" s="148" t="s">
        <v>106</v>
      </c>
      <c r="AV442" s="148" t="s">
        <v>106</v>
      </c>
      <c r="AW442" s="148" t="s">
        <v>114</v>
      </c>
      <c r="AX442" s="148" t="s">
        <v>16</v>
      </c>
      <c r="AY442" s="148" t="s">
        <v>161</v>
      </c>
    </row>
    <row r="443" spans="2:51" s="7" customFormat="1" ht="15.75" customHeight="1">
      <c r="B443" s="142"/>
      <c r="C443" s="143"/>
      <c r="D443" s="143"/>
      <c r="E443" s="143"/>
      <c r="F443" s="215" t="s">
        <v>632</v>
      </c>
      <c r="G443" s="216"/>
      <c r="H443" s="216"/>
      <c r="I443" s="216"/>
      <c r="J443" s="143"/>
      <c r="K443" s="144">
        <v>15</v>
      </c>
      <c r="L443" s="143"/>
      <c r="M443" s="143"/>
      <c r="N443" s="143"/>
      <c r="O443" s="143"/>
      <c r="P443" s="143"/>
      <c r="Q443" s="143"/>
      <c r="R443" s="145"/>
      <c r="T443" s="146"/>
      <c r="U443" s="143"/>
      <c r="V443" s="143"/>
      <c r="W443" s="143"/>
      <c r="X443" s="143"/>
      <c r="Y443" s="143"/>
      <c r="Z443" s="143"/>
      <c r="AA443" s="147"/>
      <c r="AT443" s="148" t="s">
        <v>169</v>
      </c>
      <c r="AU443" s="148" t="s">
        <v>106</v>
      </c>
      <c r="AV443" s="148" t="s">
        <v>106</v>
      </c>
      <c r="AW443" s="148" t="s">
        <v>114</v>
      </c>
      <c r="AX443" s="148" t="s">
        <v>76</v>
      </c>
      <c r="AY443" s="148" t="s">
        <v>161</v>
      </c>
    </row>
    <row r="444" spans="2:51" s="7" customFormat="1" ht="15.75" customHeight="1">
      <c r="B444" s="149"/>
      <c r="C444" s="150"/>
      <c r="D444" s="150"/>
      <c r="E444" s="150"/>
      <c r="F444" s="223" t="s">
        <v>178</v>
      </c>
      <c r="G444" s="224"/>
      <c r="H444" s="224"/>
      <c r="I444" s="224"/>
      <c r="J444" s="150"/>
      <c r="K444" s="151">
        <v>28.2</v>
      </c>
      <c r="L444" s="150"/>
      <c r="M444" s="150"/>
      <c r="N444" s="150"/>
      <c r="O444" s="150"/>
      <c r="P444" s="150"/>
      <c r="Q444" s="150"/>
      <c r="R444" s="152"/>
      <c r="T444" s="153"/>
      <c r="U444" s="150"/>
      <c r="V444" s="150"/>
      <c r="W444" s="150"/>
      <c r="X444" s="150"/>
      <c r="Y444" s="150"/>
      <c r="Z444" s="150"/>
      <c r="AA444" s="154"/>
      <c r="AT444" s="155" t="s">
        <v>169</v>
      </c>
      <c r="AU444" s="155" t="s">
        <v>106</v>
      </c>
      <c r="AV444" s="155" t="s">
        <v>167</v>
      </c>
      <c r="AW444" s="155" t="s">
        <v>114</v>
      </c>
      <c r="AX444" s="155" t="s">
        <v>76</v>
      </c>
      <c r="AY444" s="155" t="s">
        <v>161</v>
      </c>
    </row>
    <row r="445" spans="2:64" s="7" customFormat="1" ht="27" customHeight="1">
      <c r="B445" s="23"/>
      <c r="C445" s="135" t="s">
        <v>633</v>
      </c>
      <c r="D445" s="135" t="s">
        <v>163</v>
      </c>
      <c r="E445" s="136" t="s">
        <v>634</v>
      </c>
      <c r="F445" s="217" t="s">
        <v>635</v>
      </c>
      <c r="G445" s="213"/>
      <c r="H445" s="213"/>
      <c r="I445" s="213"/>
      <c r="J445" s="137" t="s">
        <v>268</v>
      </c>
      <c r="K445" s="138">
        <v>166.4</v>
      </c>
      <c r="L445" s="212">
        <v>0</v>
      </c>
      <c r="M445" s="213"/>
      <c r="N445" s="214">
        <f>ROUND($L$445*$K$445,2)</f>
        <v>0</v>
      </c>
      <c r="O445" s="213"/>
      <c r="P445" s="213"/>
      <c r="Q445" s="213"/>
      <c r="R445" s="25"/>
      <c r="T445" s="139"/>
      <c r="U445" s="31" t="s">
        <v>41</v>
      </c>
      <c r="V445" s="140">
        <v>0.244</v>
      </c>
      <c r="W445" s="140">
        <f>$V$445*$K$445</f>
        <v>40.6016</v>
      </c>
      <c r="X445" s="140">
        <v>0</v>
      </c>
      <c r="Y445" s="140">
        <f>$X$445*$K$445</f>
        <v>0</v>
      </c>
      <c r="Z445" s="140">
        <v>0</v>
      </c>
      <c r="AA445" s="141">
        <f>$Z$445*$K$445</f>
        <v>0</v>
      </c>
      <c r="AR445" s="7" t="s">
        <v>386</v>
      </c>
      <c r="AT445" s="7" t="s">
        <v>163</v>
      </c>
      <c r="AU445" s="7" t="s">
        <v>106</v>
      </c>
      <c r="AY445" s="7" t="s">
        <v>161</v>
      </c>
      <c r="BE445" s="89">
        <f>IF($U$445="základní",$N$445,0)</f>
        <v>0</v>
      </c>
      <c r="BF445" s="89">
        <f>IF($U$445="snížená",$N$445,0)</f>
        <v>0</v>
      </c>
      <c r="BG445" s="89">
        <f>IF($U$445="zákl. přenesená",$N$445,0)</f>
        <v>0</v>
      </c>
      <c r="BH445" s="89">
        <f>IF($U$445="sníž. přenesená",$N$445,0)</f>
        <v>0</v>
      </c>
      <c r="BI445" s="89">
        <f>IF($U$445="nulová",$N$445,0)</f>
        <v>0</v>
      </c>
      <c r="BJ445" s="7" t="s">
        <v>16</v>
      </c>
      <c r="BK445" s="89">
        <f>ROUND($L$445*$K$445,2)</f>
        <v>0</v>
      </c>
      <c r="BL445" s="7" t="s">
        <v>386</v>
      </c>
    </row>
    <row r="446" spans="2:51" s="7" customFormat="1" ht="15.75" customHeight="1">
      <c r="B446" s="142"/>
      <c r="C446" s="143"/>
      <c r="D446" s="143"/>
      <c r="E446" s="143"/>
      <c r="F446" s="215" t="s">
        <v>636</v>
      </c>
      <c r="G446" s="216"/>
      <c r="H446" s="216"/>
      <c r="I446" s="216"/>
      <c r="J446" s="143"/>
      <c r="K446" s="144">
        <v>166.4</v>
      </c>
      <c r="L446" s="143"/>
      <c r="M446" s="143"/>
      <c r="N446" s="143"/>
      <c r="O446" s="143"/>
      <c r="P446" s="143"/>
      <c r="Q446" s="143"/>
      <c r="R446" s="145"/>
      <c r="T446" s="146"/>
      <c r="U446" s="143"/>
      <c r="V446" s="143"/>
      <c r="W446" s="143"/>
      <c r="X446" s="143"/>
      <c r="Y446" s="143"/>
      <c r="Z446" s="143"/>
      <c r="AA446" s="147"/>
      <c r="AT446" s="148" t="s">
        <v>169</v>
      </c>
      <c r="AU446" s="148" t="s">
        <v>106</v>
      </c>
      <c r="AV446" s="148" t="s">
        <v>106</v>
      </c>
      <c r="AW446" s="148" t="s">
        <v>114</v>
      </c>
      <c r="AX446" s="148" t="s">
        <v>16</v>
      </c>
      <c r="AY446" s="148" t="s">
        <v>161</v>
      </c>
    </row>
    <row r="447" spans="2:64" s="7" customFormat="1" ht="27" customHeight="1">
      <c r="B447" s="23"/>
      <c r="C447" s="156" t="s">
        <v>637</v>
      </c>
      <c r="D447" s="156" t="s">
        <v>201</v>
      </c>
      <c r="E447" s="157" t="s">
        <v>638</v>
      </c>
      <c r="F447" s="219" t="s">
        <v>639</v>
      </c>
      <c r="G447" s="220"/>
      <c r="H447" s="220"/>
      <c r="I447" s="220"/>
      <c r="J447" s="158" t="s">
        <v>166</v>
      </c>
      <c r="K447" s="159">
        <v>2.446</v>
      </c>
      <c r="L447" s="221">
        <v>0</v>
      </c>
      <c r="M447" s="220"/>
      <c r="N447" s="222">
        <f>ROUND($L$447*$K$447,2)</f>
        <v>0</v>
      </c>
      <c r="O447" s="213"/>
      <c r="P447" s="213"/>
      <c r="Q447" s="213"/>
      <c r="R447" s="25"/>
      <c r="T447" s="139"/>
      <c r="U447" s="31" t="s">
        <v>41</v>
      </c>
      <c r="V447" s="140">
        <v>0</v>
      </c>
      <c r="W447" s="140">
        <f>$V$447*$K$447</f>
        <v>0</v>
      </c>
      <c r="X447" s="140">
        <v>0.55</v>
      </c>
      <c r="Y447" s="140">
        <f>$X$447*$K$447</f>
        <v>1.3453000000000002</v>
      </c>
      <c r="Z447" s="140">
        <v>0</v>
      </c>
      <c r="AA447" s="141">
        <f>$Z$447*$K$447</f>
        <v>0</v>
      </c>
      <c r="AR447" s="7" t="s">
        <v>539</v>
      </c>
      <c r="AT447" s="7" t="s">
        <v>201</v>
      </c>
      <c r="AU447" s="7" t="s">
        <v>106</v>
      </c>
      <c r="AY447" s="7" t="s">
        <v>161</v>
      </c>
      <c r="BE447" s="89">
        <f>IF($U$447="základní",$N$447,0)</f>
        <v>0</v>
      </c>
      <c r="BF447" s="89">
        <f>IF($U$447="snížená",$N$447,0)</f>
        <v>0</v>
      </c>
      <c r="BG447" s="89">
        <f>IF($U$447="zákl. přenesená",$N$447,0)</f>
        <v>0</v>
      </c>
      <c r="BH447" s="89">
        <f>IF($U$447="sníž. přenesená",$N$447,0)</f>
        <v>0</v>
      </c>
      <c r="BI447" s="89">
        <f>IF($U$447="nulová",$N$447,0)</f>
        <v>0</v>
      </c>
      <c r="BJ447" s="7" t="s">
        <v>16</v>
      </c>
      <c r="BK447" s="89">
        <f>ROUND($L$447*$K$447,2)</f>
        <v>0</v>
      </c>
      <c r="BL447" s="7" t="s">
        <v>386</v>
      </c>
    </row>
    <row r="448" spans="2:47" s="7" customFormat="1" ht="48" customHeight="1">
      <c r="B448" s="23"/>
      <c r="C448" s="24"/>
      <c r="D448" s="24"/>
      <c r="E448" s="24"/>
      <c r="F448" s="218" t="s">
        <v>640</v>
      </c>
      <c r="G448" s="170"/>
      <c r="H448" s="170"/>
      <c r="I448" s="170"/>
      <c r="J448" s="24"/>
      <c r="K448" s="24"/>
      <c r="L448" s="24"/>
      <c r="M448" s="24"/>
      <c r="N448" s="24"/>
      <c r="O448" s="24"/>
      <c r="P448" s="24"/>
      <c r="Q448" s="24"/>
      <c r="R448" s="25"/>
      <c r="T448" s="60"/>
      <c r="U448" s="24"/>
      <c r="V448" s="24"/>
      <c r="W448" s="24"/>
      <c r="X448" s="24"/>
      <c r="Y448" s="24"/>
      <c r="Z448" s="24"/>
      <c r="AA448" s="61"/>
      <c r="AT448" s="7" t="s">
        <v>198</v>
      </c>
      <c r="AU448" s="7" t="s">
        <v>106</v>
      </c>
    </row>
    <row r="449" spans="2:51" s="7" customFormat="1" ht="27" customHeight="1">
      <c r="B449" s="142"/>
      <c r="C449" s="143"/>
      <c r="D449" s="143"/>
      <c r="E449" s="143"/>
      <c r="F449" s="215" t="s">
        <v>641</v>
      </c>
      <c r="G449" s="216"/>
      <c r="H449" s="216"/>
      <c r="I449" s="216"/>
      <c r="J449" s="143"/>
      <c r="K449" s="144">
        <v>2.446</v>
      </c>
      <c r="L449" s="143"/>
      <c r="M449" s="143"/>
      <c r="N449" s="143"/>
      <c r="O449" s="143"/>
      <c r="P449" s="143"/>
      <c r="Q449" s="143"/>
      <c r="R449" s="145"/>
      <c r="T449" s="146"/>
      <c r="U449" s="143"/>
      <c r="V449" s="143"/>
      <c r="W449" s="143"/>
      <c r="X449" s="143"/>
      <c r="Y449" s="143"/>
      <c r="Z449" s="143"/>
      <c r="AA449" s="147"/>
      <c r="AT449" s="148" t="s">
        <v>169</v>
      </c>
      <c r="AU449" s="148" t="s">
        <v>106</v>
      </c>
      <c r="AV449" s="148" t="s">
        <v>106</v>
      </c>
      <c r="AW449" s="148" t="s">
        <v>114</v>
      </c>
      <c r="AX449" s="148" t="s">
        <v>16</v>
      </c>
      <c r="AY449" s="148" t="s">
        <v>161</v>
      </c>
    </row>
    <row r="450" spans="2:64" s="7" customFormat="1" ht="27" customHeight="1">
      <c r="B450" s="23"/>
      <c r="C450" s="156" t="s">
        <v>642</v>
      </c>
      <c r="D450" s="156" t="s">
        <v>201</v>
      </c>
      <c r="E450" s="157" t="s">
        <v>643</v>
      </c>
      <c r="F450" s="219" t="s">
        <v>644</v>
      </c>
      <c r="G450" s="220"/>
      <c r="H450" s="220"/>
      <c r="I450" s="220"/>
      <c r="J450" s="158" t="s">
        <v>166</v>
      </c>
      <c r="K450" s="159">
        <v>3.636</v>
      </c>
      <c r="L450" s="221">
        <v>0</v>
      </c>
      <c r="M450" s="220"/>
      <c r="N450" s="222">
        <f>ROUND($L$450*$K$450,2)</f>
        <v>0</v>
      </c>
      <c r="O450" s="213"/>
      <c r="P450" s="213"/>
      <c r="Q450" s="213"/>
      <c r="R450" s="25"/>
      <c r="T450" s="139"/>
      <c r="U450" s="31" t="s">
        <v>41</v>
      </c>
      <c r="V450" s="140">
        <v>0</v>
      </c>
      <c r="W450" s="140">
        <f>$V$450*$K$450</f>
        <v>0</v>
      </c>
      <c r="X450" s="140">
        <v>0.55</v>
      </c>
      <c r="Y450" s="140">
        <f>$X$450*$K$450</f>
        <v>1.9998000000000002</v>
      </c>
      <c r="Z450" s="140">
        <v>0</v>
      </c>
      <c r="AA450" s="141">
        <f>$Z$450*$K$450</f>
        <v>0</v>
      </c>
      <c r="AR450" s="7" t="s">
        <v>539</v>
      </c>
      <c r="AT450" s="7" t="s">
        <v>201</v>
      </c>
      <c r="AU450" s="7" t="s">
        <v>106</v>
      </c>
      <c r="AY450" s="7" t="s">
        <v>161</v>
      </c>
      <c r="BE450" s="89">
        <f>IF($U$450="základní",$N$450,0)</f>
        <v>0</v>
      </c>
      <c r="BF450" s="89">
        <f>IF($U$450="snížená",$N$450,0)</f>
        <v>0</v>
      </c>
      <c r="BG450" s="89">
        <f>IF($U$450="zákl. přenesená",$N$450,0)</f>
        <v>0</v>
      </c>
      <c r="BH450" s="89">
        <f>IF($U$450="sníž. přenesená",$N$450,0)</f>
        <v>0</v>
      </c>
      <c r="BI450" s="89">
        <f>IF($U$450="nulová",$N$450,0)</f>
        <v>0</v>
      </c>
      <c r="BJ450" s="7" t="s">
        <v>16</v>
      </c>
      <c r="BK450" s="89">
        <f>ROUND($L$450*$K$450,2)</f>
        <v>0</v>
      </c>
      <c r="BL450" s="7" t="s">
        <v>386</v>
      </c>
    </row>
    <row r="451" spans="2:47" s="7" customFormat="1" ht="48" customHeight="1">
      <c r="B451" s="23"/>
      <c r="C451" s="24"/>
      <c r="D451" s="24"/>
      <c r="E451" s="24"/>
      <c r="F451" s="218" t="s">
        <v>640</v>
      </c>
      <c r="G451" s="170"/>
      <c r="H451" s="170"/>
      <c r="I451" s="170"/>
      <c r="J451" s="24"/>
      <c r="K451" s="24"/>
      <c r="L451" s="24"/>
      <c r="M451" s="24"/>
      <c r="N451" s="24"/>
      <c r="O451" s="24"/>
      <c r="P451" s="24"/>
      <c r="Q451" s="24"/>
      <c r="R451" s="25"/>
      <c r="T451" s="60"/>
      <c r="U451" s="24"/>
      <c r="V451" s="24"/>
      <c r="W451" s="24"/>
      <c r="X451" s="24"/>
      <c r="Y451" s="24"/>
      <c r="Z451" s="24"/>
      <c r="AA451" s="61"/>
      <c r="AT451" s="7" t="s">
        <v>198</v>
      </c>
      <c r="AU451" s="7" t="s">
        <v>106</v>
      </c>
    </row>
    <row r="452" spans="2:51" s="7" customFormat="1" ht="27" customHeight="1">
      <c r="B452" s="142"/>
      <c r="C452" s="143"/>
      <c r="D452" s="143"/>
      <c r="E452" s="143"/>
      <c r="F452" s="215" t="s">
        <v>645</v>
      </c>
      <c r="G452" s="216"/>
      <c r="H452" s="216"/>
      <c r="I452" s="216"/>
      <c r="J452" s="143"/>
      <c r="K452" s="144">
        <v>3.636</v>
      </c>
      <c r="L452" s="143"/>
      <c r="M452" s="143"/>
      <c r="N452" s="143"/>
      <c r="O452" s="143"/>
      <c r="P452" s="143"/>
      <c r="Q452" s="143"/>
      <c r="R452" s="145"/>
      <c r="T452" s="146"/>
      <c r="U452" s="143"/>
      <c r="V452" s="143"/>
      <c r="W452" s="143"/>
      <c r="X452" s="143"/>
      <c r="Y452" s="143"/>
      <c r="Z452" s="143"/>
      <c r="AA452" s="147"/>
      <c r="AT452" s="148" t="s">
        <v>169</v>
      </c>
      <c r="AU452" s="148" t="s">
        <v>106</v>
      </c>
      <c r="AV452" s="148" t="s">
        <v>106</v>
      </c>
      <c r="AW452" s="148" t="s">
        <v>114</v>
      </c>
      <c r="AX452" s="148" t="s">
        <v>16</v>
      </c>
      <c r="AY452" s="148" t="s">
        <v>161</v>
      </c>
    </row>
    <row r="453" spans="2:64" s="7" customFormat="1" ht="27" customHeight="1">
      <c r="B453" s="23"/>
      <c r="C453" s="135" t="s">
        <v>16</v>
      </c>
      <c r="D453" s="135" t="s">
        <v>163</v>
      </c>
      <c r="E453" s="136" t="s">
        <v>646</v>
      </c>
      <c r="F453" s="217" t="s">
        <v>647</v>
      </c>
      <c r="G453" s="213"/>
      <c r="H453" s="213"/>
      <c r="I453" s="213"/>
      <c r="J453" s="137" t="s">
        <v>268</v>
      </c>
      <c r="K453" s="138">
        <v>164.66</v>
      </c>
      <c r="L453" s="212">
        <v>0</v>
      </c>
      <c r="M453" s="213"/>
      <c r="N453" s="214">
        <f>ROUND($L$453*$K$453,2)</f>
        <v>0</v>
      </c>
      <c r="O453" s="213"/>
      <c r="P453" s="213"/>
      <c r="Q453" s="213"/>
      <c r="R453" s="25"/>
      <c r="T453" s="139"/>
      <c r="U453" s="31" t="s">
        <v>41</v>
      </c>
      <c r="V453" s="140">
        <v>0.156</v>
      </c>
      <c r="W453" s="140">
        <f>$V$453*$K$453</f>
        <v>25.68696</v>
      </c>
      <c r="X453" s="140">
        <v>0</v>
      </c>
      <c r="Y453" s="140">
        <f>$X$453*$K$453</f>
        <v>0</v>
      </c>
      <c r="Z453" s="140">
        <v>0.025</v>
      </c>
      <c r="AA453" s="141">
        <f>$Z$453*$K$453</f>
        <v>4.1165</v>
      </c>
      <c r="AR453" s="7" t="s">
        <v>386</v>
      </c>
      <c r="AT453" s="7" t="s">
        <v>163</v>
      </c>
      <c r="AU453" s="7" t="s">
        <v>106</v>
      </c>
      <c r="AY453" s="7" t="s">
        <v>161</v>
      </c>
      <c r="BE453" s="89">
        <f>IF($U$453="základní",$N$453,0)</f>
        <v>0</v>
      </c>
      <c r="BF453" s="89">
        <f>IF($U$453="snížená",$N$453,0)</f>
        <v>0</v>
      </c>
      <c r="BG453" s="89">
        <f>IF($U$453="zákl. přenesená",$N$453,0)</f>
        <v>0</v>
      </c>
      <c r="BH453" s="89">
        <f>IF($U$453="sníž. přenesená",$N$453,0)</f>
        <v>0</v>
      </c>
      <c r="BI453" s="89">
        <f>IF($U$453="nulová",$N$453,0)</f>
        <v>0</v>
      </c>
      <c r="BJ453" s="7" t="s">
        <v>16</v>
      </c>
      <c r="BK453" s="89">
        <f>ROUND($L$453*$K$453,2)</f>
        <v>0</v>
      </c>
      <c r="BL453" s="7" t="s">
        <v>386</v>
      </c>
    </row>
    <row r="454" spans="2:51" s="7" customFormat="1" ht="15.75" customHeight="1">
      <c r="B454" s="142"/>
      <c r="C454" s="143"/>
      <c r="D454" s="143"/>
      <c r="E454" s="143"/>
      <c r="F454" s="215" t="s">
        <v>648</v>
      </c>
      <c r="G454" s="216"/>
      <c r="H454" s="216"/>
      <c r="I454" s="216"/>
      <c r="J454" s="143"/>
      <c r="K454" s="144">
        <v>164.66</v>
      </c>
      <c r="L454" s="143"/>
      <c r="M454" s="143"/>
      <c r="N454" s="143"/>
      <c r="O454" s="143"/>
      <c r="P454" s="143"/>
      <c r="Q454" s="143"/>
      <c r="R454" s="145"/>
      <c r="T454" s="146"/>
      <c r="U454" s="143"/>
      <c r="V454" s="143"/>
      <c r="W454" s="143"/>
      <c r="X454" s="143"/>
      <c r="Y454" s="143"/>
      <c r="Z454" s="143"/>
      <c r="AA454" s="147"/>
      <c r="AT454" s="148" t="s">
        <v>169</v>
      </c>
      <c r="AU454" s="148" t="s">
        <v>106</v>
      </c>
      <c r="AV454" s="148" t="s">
        <v>106</v>
      </c>
      <c r="AW454" s="148" t="s">
        <v>114</v>
      </c>
      <c r="AX454" s="148" t="s">
        <v>16</v>
      </c>
      <c r="AY454" s="148" t="s">
        <v>161</v>
      </c>
    </row>
    <row r="455" spans="2:64" s="7" customFormat="1" ht="27" customHeight="1">
      <c r="B455" s="23"/>
      <c r="C455" s="135" t="s">
        <v>649</v>
      </c>
      <c r="D455" s="135" t="s">
        <v>163</v>
      </c>
      <c r="E455" s="136" t="s">
        <v>650</v>
      </c>
      <c r="F455" s="217" t="s">
        <v>651</v>
      </c>
      <c r="G455" s="213"/>
      <c r="H455" s="213"/>
      <c r="I455" s="213"/>
      <c r="J455" s="137" t="s">
        <v>214</v>
      </c>
      <c r="K455" s="138">
        <v>130.449</v>
      </c>
      <c r="L455" s="212">
        <v>0</v>
      </c>
      <c r="M455" s="213"/>
      <c r="N455" s="214">
        <f>ROUND($L$455*$K$455,2)</f>
        <v>0</v>
      </c>
      <c r="O455" s="213"/>
      <c r="P455" s="213"/>
      <c r="Q455" s="213"/>
      <c r="R455" s="25"/>
      <c r="T455" s="139"/>
      <c r="U455" s="31" t="s">
        <v>41</v>
      </c>
      <c r="V455" s="140">
        <v>0.526</v>
      </c>
      <c r="W455" s="140">
        <f>$V$455*$K$455</f>
        <v>68.61617400000002</v>
      </c>
      <c r="X455" s="140">
        <v>0</v>
      </c>
      <c r="Y455" s="140">
        <f>$X$455*$K$455</f>
        <v>0</v>
      </c>
      <c r="Z455" s="140">
        <v>0</v>
      </c>
      <c r="AA455" s="141">
        <f>$Z$455*$K$455</f>
        <v>0</v>
      </c>
      <c r="AR455" s="7" t="s">
        <v>386</v>
      </c>
      <c r="AT455" s="7" t="s">
        <v>163</v>
      </c>
      <c r="AU455" s="7" t="s">
        <v>106</v>
      </c>
      <c r="AY455" s="7" t="s">
        <v>161</v>
      </c>
      <c r="BE455" s="89">
        <f>IF($U$455="základní",$N$455,0)</f>
        <v>0</v>
      </c>
      <c r="BF455" s="89">
        <f>IF($U$455="snížená",$N$455,0)</f>
        <v>0</v>
      </c>
      <c r="BG455" s="89">
        <f>IF($U$455="zákl. přenesená",$N$455,0)</f>
        <v>0</v>
      </c>
      <c r="BH455" s="89">
        <f>IF($U$455="sníž. přenesená",$N$455,0)</f>
        <v>0</v>
      </c>
      <c r="BI455" s="89">
        <f>IF($U$455="nulová",$N$455,0)</f>
        <v>0</v>
      </c>
      <c r="BJ455" s="7" t="s">
        <v>16</v>
      </c>
      <c r="BK455" s="89">
        <f>ROUND($L$455*$K$455,2)</f>
        <v>0</v>
      </c>
      <c r="BL455" s="7" t="s">
        <v>386</v>
      </c>
    </row>
    <row r="456" spans="2:51" s="7" customFormat="1" ht="15.75" customHeight="1">
      <c r="B456" s="142"/>
      <c r="C456" s="143"/>
      <c r="D456" s="143"/>
      <c r="E456" s="143"/>
      <c r="F456" s="215" t="s">
        <v>652</v>
      </c>
      <c r="G456" s="216"/>
      <c r="H456" s="216"/>
      <c r="I456" s="216"/>
      <c r="J456" s="143"/>
      <c r="K456" s="144">
        <v>130.449</v>
      </c>
      <c r="L456" s="143"/>
      <c r="M456" s="143"/>
      <c r="N456" s="143"/>
      <c r="O456" s="143"/>
      <c r="P456" s="143"/>
      <c r="Q456" s="143"/>
      <c r="R456" s="145"/>
      <c r="T456" s="146"/>
      <c r="U456" s="143"/>
      <c r="V456" s="143"/>
      <c r="W456" s="143"/>
      <c r="X456" s="143"/>
      <c r="Y456" s="143"/>
      <c r="Z456" s="143"/>
      <c r="AA456" s="147"/>
      <c r="AT456" s="148" t="s">
        <v>169</v>
      </c>
      <c r="AU456" s="148" t="s">
        <v>106</v>
      </c>
      <c r="AV456" s="148" t="s">
        <v>106</v>
      </c>
      <c r="AW456" s="148" t="s">
        <v>114</v>
      </c>
      <c r="AX456" s="148" t="s">
        <v>16</v>
      </c>
      <c r="AY456" s="148" t="s">
        <v>161</v>
      </c>
    </row>
    <row r="457" spans="2:64" s="7" customFormat="1" ht="15.75" customHeight="1">
      <c r="B457" s="23"/>
      <c r="C457" s="156" t="s">
        <v>653</v>
      </c>
      <c r="D457" s="156" t="s">
        <v>201</v>
      </c>
      <c r="E457" s="157" t="s">
        <v>654</v>
      </c>
      <c r="F457" s="219" t="s">
        <v>655</v>
      </c>
      <c r="G457" s="220"/>
      <c r="H457" s="220"/>
      <c r="I457" s="220"/>
      <c r="J457" s="158" t="s">
        <v>214</v>
      </c>
      <c r="K457" s="159">
        <v>140.885</v>
      </c>
      <c r="L457" s="221">
        <v>0</v>
      </c>
      <c r="M457" s="220"/>
      <c r="N457" s="222">
        <f>ROUND($L$457*$K$457,2)</f>
        <v>0</v>
      </c>
      <c r="O457" s="213"/>
      <c r="P457" s="213"/>
      <c r="Q457" s="213"/>
      <c r="R457" s="25"/>
      <c r="T457" s="139"/>
      <c r="U457" s="31" t="s">
        <v>41</v>
      </c>
      <c r="V457" s="140">
        <v>0</v>
      </c>
      <c r="W457" s="140">
        <f>$V$457*$K$457</f>
        <v>0</v>
      </c>
      <c r="X457" s="140">
        <v>0.01372</v>
      </c>
      <c r="Y457" s="140">
        <f>$X$457*$K$457</f>
        <v>1.9329421999999998</v>
      </c>
      <c r="Z457" s="140">
        <v>0</v>
      </c>
      <c r="AA457" s="141">
        <f>$Z$457*$K$457</f>
        <v>0</v>
      </c>
      <c r="AR457" s="7" t="s">
        <v>539</v>
      </c>
      <c r="AT457" s="7" t="s">
        <v>201</v>
      </c>
      <c r="AU457" s="7" t="s">
        <v>106</v>
      </c>
      <c r="AY457" s="7" t="s">
        <v>161</v>
      </c>
      <c r="BE457" s="89">
        <f>IF($U$457="základní",$N$457,0)</f>
        <v>0</v>
      </c>
      <c r="BF457" s="89">
        <f>IF($U$457="snížená",$N$457,0)</f>
        <v>0</v>
      </c>
      <c r="BG457" s="89">
        <f>IF($U$457="zákl. přenesená",$N$457,0)</f>
        <v>0</v>
      </c>
      <c r="BH457" s="89">
        <f>IF($U$457="sníž. přenesená",$N$457,0)</f>
        <v>0</v>
      </c>
      <c r="BI457" s="89">
        <f>IF($U$457="nulová",$N$457,0)</f>
        <v>0</v>
      </c>
      <c r="BJ457" s="7" t="s">
        <v>16</v>
      </c>
      <c r="BK457" s="89">
        <f>ROUND($L$457*$K$457,2)</f>
        <v>0</v>
      </c>
      <c r="BL457" s="7" t="s">
        <v>386</v>
      </c>
    </row>
    <row r="458" spans="2:64" s="7" customFormat="1" ht="27" customHeight="1">
      <c r="B458" s="23"/>
      <c r="C458" s="135" t="s">
        <v>656</v>
      </c>
      <c r="D458" s="135" t="s">
        <v>163</v>
      </c>
      <c r="E458" s="136" t="s">
        <v>657</v>
      </c>
      <c r="F458" s="217" t="s">
        <v>658</v>
      </c>
      <c r="G458" s="213"/>
      <c r="H458" s="213"/>
      <c r="I458" s="213"/>
      <c r="J458" s="137" t="s">
        <v>166</v>
      </c>
      <c r="K458" s="138">
        <v>3.653</v>
      </c>
      <c r="L458" s="212">
        <v>0</v>
      </c>
      <c r="M458" s="213"/>
      <c r="N458" s="214">
        <f>ROUND($L$458*$K$458,2)</f>
        <v>0</v>
      </c>
      <c r="O458" s="213"/>
      <c r="P458" s="213"/>
      <c r="Q458" s="213"/>
      <c r="R458" s="25"/>
      <c r="T458" s="139"/>
      <c r="U458" s="31" t="s">
        <v>41</v>
      </c>
      <c r="V458" s="140">
        <v>0</v>
      </c>
      <c r="W458" s="140">
        <f>$V$458*$K$458</f>
        <v>0</v>
      </c>
      <c r="X458" s="140">
        <v>0.00281</v>
      </c>
      <c r="Y458" s="140">
        <f>$X$458*$K$458</f>
        <v>0.01026493</v>
      </c>
      <c r="Z458" s="140">
        <v>0</v>
      </c>
      <c r="AA458" s="141">
        <f>$Z$458*$K$458</f>
        <v>0</v>
      </c>
      <c r="AR458" s="7" t="s">
        <v>386</v>
      </c>
      <c r="AT458" s="7" t="s">
        <v>163</v>
      </c>
      <c r="AU458" s="7" t="s">
        <v>106</v>
      </c>
      <c r="AY458" s="7" t="s">
        <v>161</v>
      </c>
      <c r="BE458" s="89">
        <f>IF($U$458="základní",$N$458,0)</f>
        <v>0</v>
      </c>
      <c r="BF458" s="89">
        <f>IF($U$458="snížená",$N$458,0)</f>
        <v>0</v>
      </c>
      <c r="BG458" s="89">
        <f>IF($U$458="zákl. přenesená",$N$458,0)</f>
        <v>0</v>
      </c>
      <c r="BH458" s="89">
        <f>IF($U$458="sníž. přenesená",$N$458,0)</f>
        <v>0</v>
      </c>
      <c r="BI458" s="89">
        <f>IF($U$458="nulová",$N$458,0)</f>
        <v>0</v>
      </c>
      <c r="BJ458" s="7" t="s">
        <v>16</v>
      </c>
      <c r="BK458" s="89">
        <f>ROUND($L$458*$K$458,2)</f>
        <v>0</v>
      </c>
      <c r="BL458" s="7" t="s">
        <v>386</v>
      </c>
    </row>
    <row r="459" spans="2:51" s="7" customFormat="1" ht="15.75" customHeight="1">
      <c r="B459" s="142"/>
      <c r="C459" s="143"/>
      <c r="D459" s="143"/>
      <c r="E459" s="143"/>
      <c r="F459" s="215" t="s">
        <v>659</v>
      </c>
      <c r="G459" s="216"/>
      <c r="H459" s="216"/>
      <c r="I459" s="216"/>
      <c r="J459" s="143"/>
      <c r="K459" s="144">
        <v>3.653</v>
      </c>
      <c r="L459" s="143"/>
      <c r="M459" s="143"/>
      <c r="N459" s="143"/>
      <c r="O459" s="143"/>
      <c r="P459" s="143"/>
      <c r="Q459" s="143"/>
      <c r="R459" s="145"/>
      <c r="T459" s="146"/>
      <c r="U459" s="143"/>
      <c r="V459" s="143"/>
      <c r="W459" s="143"/>
      <c r="X459" s="143"/>
      <c r="Y459" s="143"/>
      <c r="Z459" s="143"/>
      <c r="AA459" s="147"/>
      <c r="AT459" s="148" t="s">
        <v>169</v>
      </c>
      <c r="AU459" s="148" t="s">
        <v>106</v>
      </c>
      <c r="AV459" s="148" t="s">
        <v>106</v>
      </c>
      <c r="AW459" s="148" t="s">
        <v>114</v>
      </c>
      <c r="AX459" s="148" t="s">
        <v>16</v>
      </c>
      <c r="AY459" s="148" t="s">
        <v>161</v>
      </c>
    </row>
    <row r="460" spans="2:64" s="7" customFormat="1" ht="27" customHeight="1">
      <c r="B460" s="23"/>
      <c r="C460" s="135" t="s">
        <v>660</v>
      </c>
      <c r="D460" s="135" t="s">
        <v>163</v>
      </c>
      <c r="E460" s="136" t="s">
        <v>661</v>
      </c>
      <c r="F460" s="217" t="s">
        <v>662</v>
      </c>
      <c r="G460" s="213"/>
      <c r="H460" s="213"/>
      <c r="I460" s="213"/>
      <c r="J460" s="137" t="s">
        <v>192</v>
      </c>
      <c r="K460" s="138">
        <v>6.522</v>
      </c>
      <c r="L460" s="212">
        <v>0</v>
      </c>
      <c r="M460" s="213"/>
      <c r="N460" s="214">
        <f>ROUND($L$460*$K$460,2)</f>
        <v>0</v>
      </c>
      <c r="O460" s="213"/>
      <c r="P460" s="213"/>
      <c r="Q460" s="213"/>
      <c r="R460" s="25"/>
      <c r="T460" s="139"/>
      <c r="U460" s="31" t="s">
        <v>41</v>
      </c>
      <c r="V460" s="140">
        <v>1.751</v>
      </c>
      <c r="W460" s="140">
        <f>$V$460*$K$460</f>
        <v>11.420022</v>
      </c>
      <c r="X460" s="140">
        <v>0</v>
      </c>
      <c r="Y460" s="140">
        <f>$X$460*$K$460</f>
        <v>0</v>
      </c>
      <c r="Z460" s="140">
        <v>0</v>
      </c>
      <c r="AA460" s="141">
        <f>$Z$460*$K$460</f>
        <v>0</v>
      </c>
      <c r="AR460" s="7" t="s">
        <v>386</v>
      </c>
      <c r="AT460" s="7" t="s">
        <v>163</v>
      </c>
      <c r="AU460" s="7" t="s">
        <v>106</v>
      </c>
      <c r="AY460" s="7" t="s">
        <v>161</v>
      </c>
      <c r="BE460" s="89">
        <f>IF($U$460="základní",$N$460,0)</f>
        <v>0</v>
      </c>
      <c r="BF460" s="89">
        <f>IF($U$460="snížená",$N$460,0)</f>
        <v>0</v>
      </c>
      <c r="BG460" s="89">
        <f>IF($U$460="zákl. přenesená",$N$460,0)</f>
        <v>0</v>
      </c>
      <c r="BH460" s="89">
        <f>IF($U$460="sníž. přenesená",$N$460,0)</f>
        <v>0</v>
      </c>
      <c r="BI460" s="89">
        <f>IF($U$460="nulová",$N$460,0)</f>
        <v>0</v>
      </c>
      <c r="BJ460" s="7" t="s">
        <v>16</v>
      </c>
      <c r="BK460" s="89">
        <f>ROUND($L$460*$K$460,2)</f>
        <v>0</v>
      </c>
      <c r="BL460" s="7" t="s">
        <v>386</v>
      </c>
    </row>
    <row r="461" spans="2:63" s="124" customFormat="1" ht="30.75" customHeight="1">
      <c r="B461" s="125"/>
      <c r="C461" s="126"/>
      <c r="D461" s="134" t="s">
        <v>129</v>
      </c>
      <c r="E461" s="126"/>
      <c r="F461" s="126"/>
      <c r="G461" s="126"/>
      <c r="H461" s="126"/>
      <c r="I461" s="126"/>
      <c r="J461" s="126"/>
      <c r="K461" s="126"/>
      <c r="L461" s="126"/>
      <c r="M461" s="126"/>
      <c r="N461" s="206">
        <f>$BK$461</f>
        <v>0</v>
      </c>
      <c r="O461" s="207"/>
      <c r="P461" s="207"/>
      <c r="Q461" s="207"/>
      <c r="R461" s="128"/>
      <c r="T461" s="129"/>
      <c r="U461" s="126"/>
      <c r="V461" s="126"/>
      <c r="W461" s="130">
        <f>SUM($W$462:$W$465)</f>
        <v>127.23754</v>
      </c>
      <c r="X461" s="126"/>
      <c r="Y461" s="130">
        <f>SUM($Y$462:$Y$465)</f>
        <v>1.7857370000000001</v>
      </c>
      <c r="Z461" s="126"/>
      <c r="AA461" s="131">
        <f>SUM($AA$462:$AA$465)</f>
        <v>0</v>
      </c>
      <c r="AR461" s="132" t="s">
        <v>106</v>
      </c>
      <c r="AT461" s="132" t="s">
        <v>75</v>
      </c>
      <c r="AU461" s="132" t="s">
        <v>16</v>
      </c>
      <c r="AY461" s="132" t="s">
        <v>161</v>
      </c>
      <c r="BK461" s="133">
        <f>SUM($BK$462:$BK$465)</f>
        <v>0</v>
      </c>
    </row>
    <row r="462" spans="2:64" s="7" customFormat="1" ht="27" customHeight="1">
      <c r="B462" s="23"/>
      <c r="C462" s="135" t="s">
        <v>663</v>
      </c>
      <c r="D462" s="135" t="s">
        <v>163</v>
      </c>
      <c r="E462" s="136" t="s">
        <v>664</v>
      </c>
      <c r="F462" s="217" t="s">
        <v>665</v>
      </c>
      <c r="G462" s="213"/>
      <c r="H462" s="213"/>
      <c r="I462" s="213"/>
      <c r="J462" s="137" t="s">
        <v>214</v>
      </c>
      <c r="K462" s="138">
        <v>122.9</v>
      </c>
      <c r="L462" s="212">
        <v>0</v>
      </c>
      <c r="M462" s="213"/>
      <c r="N462" s="214">
        <f>ROUND($L$462*$K$462,2)</f>
        <v>0</v>
      </c>
      <c r="O462" s="213"/>
      <c r="P462" s="213"/>
      <c r="Q462" s="213"/>
      <c r="R462" s="25"/>
      <c r="T462" s="139"/>
      <c r="U462" s="31" t="s">
        <v>41</v>
      </c>
      <c r="V462" s="140">
        <v>1.018</v>
      </c>
      <c r="W462" s="140">
        <f>$V$462*$K$462</f>
        <v>125.1122</v>
      </c>
      <c r="X462" s="140">
        <v>0.01453</v>
      </c>
      <c r="Y462" s="140">
        <f>$X$462*$K$462</f>
        <v>1.7857370000000001</v>
      </c>
      <c r="Z462" s="140">
        <v>0</v>
      </c>
      <c r="AA462" s="141">
        <f>$Z$462*$K$462</f>
        <v>0</v>
      </c>
      <c r="AR462" s="7" t="s">
        <v>386</v>
      </c>
      <c r="AT462" s="7" t="s">
        <v>163</v>
      </c>
      <c r="AU462" s="7" t="s">
        <v>106</v>
      </c>
      <c r="AY462" s="7" t="s">
        <v>161</v>
      </c>
      <c r="BE462" s="89">
        <f>IF($U$462="základní",$N$462,0)</f>
        <v>0</v>
      </c>
      <c r="BF462" s="89">
        <f>IF($U$462="snížená",$N$462,0)</f>
        <v>0</v>
      </c>
      <c r="BG462" s="89">
        <f>IF($U$462="zákl. přenesená",$N$462,0)</f>
        <v>0</v>
      </c>
      <c r="BH462" s="89">
        <f>IF($U$462="sníž. přenesená",$N$462,0)</f>
        <v>0</v>
      </c>
      <c r="BI462" s="89">
        <f>IF($U$462="nulová",$N$462,0)</f>
        <v>0</v>
      </c>
      <c r="BJ462" s="7" t="s">
        <v>16</v>
      </c>
      <c r="BK462" s="89">
        <f>ROUND($L$462*$K$462,2)</f>
        <v>0</v>
      </c>
      <c r="BL462" s="7" t="s">
        <v>386</v>
      </c>
    </row>
    <row r="463" spans="2:47" s="7" customFormat="1" ht="25.5" customHeight="1">
      <c r="B463" s="23"/>
      <c r="C463" s="24"/>
      <c r="D463" s="24"/>
      <c r="E463" s="24"/>
      <c r="F463" s="218" t="s">
        <v>666</v>
      </c>
      <c r="G463" s="170"/>
      <c r="H463" s="170"/>
      <c r="I463" s="170"/>
      <c r="J463" s="24"/>
      <c r="K463" s="24"/>
      <c r="L463" s="24"/>
      <c r="M463" s="24"/>
      <c r="N463" s="24"/>
      <c r="O463" s="24"/>
      <c r="P463" s="24"/>
      <c r="Q463" s="24"/>
      <c r="R463" s="25"/>
      <c r="T463" s="60"/>
      <c r="U463" s="24"/>
      <c r="V463" s="24"/>
      <c r="W463" s="24"/>
      <c r="X463" s="24"/>
      <c r="Y463" s="24"/>
      <c r="Z463" s="24"/>
      <c r="AA463" s="61"/>
      <c r="AT463" s="7" t="s">
        <v>198</v>
      </c>
      <c r="AU463" s="7" t="s">
        <v>106</v>
      </c>
    </row>
    <row r="464" spans="2:51" s="7" customFormat="1" ht="15.75" customHeight="1">
      <c r="B464" s="142"/>
      <c r="C464" s="143"/>
      <c r="D464" s="143"/>
      <c r="E464" s="143"/>
      <c r="F464" s="215" t="s">
        <v>404</v>
      </c>
      <c r="G464" s="216"/>
      <c r="H464" s="216"/>
      <c r="I464" s="216"/>
      <c r="J464" s="143"/>
      <c r="K464" s="144">
        <v>122.9</v>
      </c>
      <c r="L464" s="143"/>
      <c r="M464" s="143"/>
      <c r="N464" s="143"/>
      <c r="O464" s="143"/>
      <c r="P464" s="143"/>
      <c r="Q464" s="143"/>
      <c r="R464" s="145"/>
      <c r="T464" s="146"/>
      <c r="U464" s="143"/>
      <c r="V464" s="143"/>
      <c r="W464" s="143"/>
      <c r="X464" s="143"/>
      <c r="Y464" s="143"/>
      <c r="Z464" s="143"/>
      <c r="AA464" s="147"/>
      <c r="AT464" s="148" t="s">
        <v>169</v>
      </c>
      <c r="AU464" s="148" t="s">
        <v>106</v>
      </c>
      <c r="AV464" s="148" t="s">
        <v>106</v>
      </c>
      <c r="AW464" s="148" t="s">
        <v>114</v>
      </c>
      <c r="AX464" s="148" t="s">
        <v>16</v>
      </c>
      <c r="AY464" s="148" t="s">
        <v>161</v>
      </c>
    </row>
    <row r="465" spans="2:64" s="7" customFormat="1" ht="27" customHeight="1">
      <c r="B465" s="23"/>
      <c r="C465" s="135" t="s">
        <v>667</v>
      </c>
      <c r="D465" s="135" t="s">
        <v>163</v>
      </c>
      <c r="E465" s="136" t="s">
        <v>668</v>
      </c>
      <c r="F465" s="217" t="s">
        <v>669</v>
      </c>
      <c r="G465" s="213"/>
      <c r="H465" s="213"/>
      <c r="I465" s="213"/>
      <c r="J465" s="137" t="s">
        <v>192</v>
      </c>
      <c r="K465" s="138">
        <v>1.786</v>
      </c>
      <c r="L465" s="212">
        <v>0</v>
      </c>
      <c r="M465" s="213"/>
      <c r="N465" s="214">
        <f>ROUND($L$465*$K$465,2)</f>
        <v>0</v>
      </c>
      <c r="O465" s="213"/>
      <c r="P465" s="213"/>
      <c r="Q465" s="213"/>
      <c r="R465" s="25"/>
      <c r="T465" s="139"/>
      <c r="U465" s="31" t="s">
        <v>41</v>
      </c>
      <c r="V465" s="140">
        <v>1.19</v>
      </c>
      <c r="W465" s="140">
        <f>$V$465*$K$465</f>
        <v>2.12534</v>
      </c>
      <c r="X465" s="140">
        <v>0</v>
      </c>
      <c r="Y465" s="140">
        <f>$X$465*$K$465</f>
        <v>0</v>
      </c>
      <c r="Z465" s="140">
        <v>0</v>
      </c>
      <c r="AA465" s="141">
        <f>$Z$465*$K$465</f>
        <v>0</v>
      </c>
      <c r="AR465" s="7" t="s">
        <v>386</v>
      </c>
      <c r="AT465" s="7" t="s">
        <v>163</v>
      </c>
      <c r="AU465" s="7" t="s">
        <v>106</v>
      </c>
      <c r="AY465" s="7" t="s">
        <v>161</v>
      </c>
      <c r="BE465" s="89">
        <f>IF($U$465="základní",$N$465,0)</f>
        <v>0</v>
      </c>
      <c r="BF465" s="89">
        <f>IF($U$465="snížená",$N$465,0)</f>
        <v>0</v>
      </c>
      <c r="BG465" s="89">
        <f>IF($U$465="zákl. přenesená",$N$465,0)</f>
        <v>0</v>
      </c>
      <c r="BH465" s="89">
        <f>IF($U$465="sníž. přenesená",$N$465,0)</f>
        <v>0</v>
      </c>
      <c r="BI465" s="89">
        <f>IF($U$465="nulová",$N$465,0)</f>
        <v>0</v>
      </c>
      <c r="BJ465" s="7" t="s">
        <v>16</v>
      </c>
      <c r="BK465" s="89">
        <f>ROUND($L$465*$K$465,2)</f>
        <v>0</v>
      </c>
      <c r="BL465" s="7" t="s">
        <v>386</v>
      </c>
    </row>
    <row r="466" spans="2:63" s="124" customFormat="1" ht="30.75" customHeight="1">
      <c r="B466" s="125"/>
      <c r="C466" s="126"/>
      <c r="D466" s="134" t="s">
        <v>130</v>
      </c>
      <c r="E466" s="126"/>
      <c r="F466" s="126"/>
      <c r="G466" s="126"/>
      <c r="H466" s="126"/>
      <c r="I466" s="126"/>
      <c r="J466" s="126"/>
      <c r="K466" s="126"/>
      <c r="L466" s="126"/>
      <c r="M466" s="126"/>
      <c r="N466" s="206">
        <f>$BK$466</f>
        <v>0</v>
      </c>
      <c r="O466" s="207"/>
      <c r="P466" s="207"/>
      <c r="Q466" s="207"/>
      <c r="R466" s="128"/>
      <c r="T466" s="129"/>
      <c r="U466" s="126"/>
      <c r="V466" s="126"/>
      <c r="W466" s="130">
        <f>SUM($W$467:$W$476)</f>
        <v>41.211980000000004</v>
      </c>
      <c r="X466" s="126"/>
      <c r="Y466" s="130">
        <f>SUM($Y$467:$Y$476)</f>
        <v>0.21047539999999998</v>
      </c>
      <c r="Z466" s="126"/>
      <c r="AA466" s="131">
        <f>SUM($AA$467:$AA$476)</f>
        <v>0</v>
      </c>
      <c r="AR466" s="132" t="s">
        <v>106</v>
      </c>
      <c r="AT466" s="132" t="s">
        <v>75</v>
      </c>
      <c r="AU466" s="132" t="s">
        <v>16</v>
      </c>
      <c r="AY466" s="132" t="s">
        <v>161</v>
      </c>
      <c r="BK466" s="133">
        <f>SUM($BK$467:$BK$476)</f>
        <v>0</v>
      </c>
    </row>
    <row r="467" spans="2:64" s="7" customFormat="1" ht="15.75" customHeight="1">
      <c r="B467" s="23"/>
      <c r="C467" s="135" t="s">
        <v>670</v>
      </c>
      <c r="D467" s="135" t="s">
        <v>163</v>
      </c>
      <c r="E467" s="136" t="s">
        <v>671</v>
      </c>
      <c r="F467" s="217" t="s">
        <v>672</v>
      </c>
      <c r="G467" s="213"/>
      <c r="H467" s="213"/>
      <c r="I467" s="213"/>
      <c r="J467" s="137" t="s">
        <v>268</v>
      </c>
      <c r="K467" s="138">
        <v>14.36</v>
      </c>
      <c r="L467" s="212">
        <v>0</v>
      </c>
      <c r="M467" s="213"/>
      <c r="N467" s="214">
        <f>ROUND($L$467*$K$467,2)</f>
        <v>0</v>
      </c>
      <c r="O467" s="213"/>
      <c r="P467" s="213"/>
      <c r="Q467" s="213"/>
      <c r="R467" s="25"/>
      <c r="T467" s="139"/>
      <c r="U467" s="31" t="s">
        <v>41</v>
      </c>
      <c r="V467" s="140">
        <v>0.453</v>
      </c>
      <c r="W467" s="140">
        <f>$V$467*$K$467</f>
        <v>6.5050799999999995</v>
      </c>
      <c r="X467" s="140">
        <v>0.00554</v>
      </c>
      <c r="Y467" s="140">
        <f>$X$467*$K$467</f>
        <v>0.0795544</v>
      </c>
      <c r="Z467" s="140">
        <v>0</v>
      </c>
      <c r="AA467" s="141">
        <f>$Z$467*$K$467</f>
        <v>0</v>
      </c>
      <c r="AR467" s="7" t="s">
        <v>386</v>
      </c>
      <c r="AT467" s="7" t="s">
        <v>163</v>
      </c>
      <c r="AU467" s="7" t="s">
        <v>106</v>
      </c>
      <c r="AY467" s="7" t="s">
        <v>161</v>
      </c>
      <c r="BE467" s="89">
        <f>IF($U$467="základní",$N$467,0)</f>
        <v>0</v>
      </c>
      <c r="BF467" s="89">
        <f>IF($U$467="snížená",$N$467,0)</f>
        <v>0</v>
      </c>
      <c r="BG467" s="89">
        <f>IF($U$467="zákl. přenesená",$N$467,0)</f>
        <v>0</v>
      </c>
      <c r="BH467" s="89">
        <f>IF($U$467="sníž. přenesená",$N$467,0)</f>
        <v>0</v>
      </c>
      <c r="BI467" s="89">
        <f>IF($U$467="nulová",$N$467,0)</f>
        <v>0</v>
      </c>
      <c r="BJ467" s="7" t="s">
        <v>16</v>
      </c>
      <c r="BK467" s="89">
        <f>ROUND($L$467*$K$467,2)</f>
        <v>0</v>
      </c>
      <c r="BL467" s="7" t="s">
        <v>386</v>
      </c>
    </row>
    <row r="468" spans="2:64" s="7" customFormat="1" ht="27" customHeight="1">
      <c r="B468" s="23"/>
      <c r="C468" s="135" t="s">
        <v>673</v>
      </c>
      <c r="D468" s="135" t="s">
        <v>163</v>
      </c>
      <c r="E468" s="136" t="s">
        <v>674</v>
      </c>
      <c r="F468" s="217" t="s">
        <v>675</v>
      </c>
      <c r="G468" s="213"/>
      <c r="H468" s="213"/>
      <c r="I468" s="213"/>
      <c r="J468" s="137" t="s">
        <v>268</v>
      </c>
      <c r="K468" s="138">
        <v>15</v>
      </c>
      <c r="L468" s="212">
        <v>0</v>
      </c>
      <c r="M468" s="213"/>
      <c r="N468" s="214">
        <f>ROUND($L$468*$K$468,2)</f>
        <v>0</v>
      </c>
      <c r="O468" s="213"/>
      <c r="P468" s="213"/>
      <c r="Q468" s="213"/>
      <c r="R468" s="25"/>
      <c r="T468" s="139"/>
      <c r="U468" s="31" t="s">
        <v>41</v>
      </c>
      <c r="V468" s="140">
        <v>0.283</v>
      </c>
      <c r="W468" s="140">
        <f>$V$468*$K$468</f>
        <v>4.244999999999999</v>
      </c>
      <c r="X468" s="140">
        <v>0.00099</v>
      </c>
      <c r="Y468" s="140">
        <f>$X$468*$K$468</f>
        <v>0.01485</v>
      </c>
      <c r="Z468" s="140">
        <v>0</v>
      </c>
      <c r="AA468" s="141">
        <f>$Z$468*$K$468</f>
        <v>0</v>
      </c>
      <c r="AR468" s="7" t="s">
        <v>386</v>
      </c>
      <c r="AT468" s="7" t="s">
        <v>163</v>
      </c>
      <c r="AU468" s="7" t="s">
        <v>106</v>
      </c>
      <c r="AY468" s="7" t="s">
        <v>161</v>
      </c>
      <c r="BE468" s="89">
        <f>IF($U$468="základní",$N$468,0)</f>
        <v>0</v>
      </c>
      <c r="BF468" s="89">
        <f>IF($U$468="snížená",$N$468,0)</f>
        <v>0</v>
      </c>
      <c r="BG468" s="89">
        <f>IF($U$468="zákl. přenesená",$N$468,0)</f>
        <v>0</v>
      </c>
      <c r="BH468" s="89">
        <f>IF($U$468="sníž. přenesená",$N$468,0)</f>
        <v>0</v>
      </c>
      <c r="BI468" s="89">
        <f>IF($U$468="nulová",$N$468,0)</f>
        <v>0</v>
      </c>
      <c r="BJ468" s="7" t="s">
        <v>16</v>
      </c>
      <c r="BK468" s="89">
        <f>ROUND($L$468*$K$468,2)</f>
        <v>0</v>
      </c>
      <c r="BL468" s="7" t="s">
        <v>386</v>
      </c>
    </row>
    <row r="469" spans="2:51" s="7" customFormat="1" ht="15.75" customHeight="1">
      <c r="B469" s="142"/>
      <c r="C469" s="143"/>
      <c r="D469" s="143"/>
      <c r="E469" s="143"/>
      <c r="F469" s="215" t="s">
        <v>676</v>
      </c>
      <c r="G469" s="216"/>
      <c r="H469" s="216"/>
      <c r="I469" s="216"/>
      <c r="J469" s="143"/>
      <c r="K469" s="144">
        <v>15</v>
      </c>
      <c r="L469" s="143"/>
      <c r="M469" s="143"/>
      <c r="N469" s="143"/>
      <c r="O469" s="143"/>
      <c r="P469" s="143"/>
      <c r="Q469" s="143"/>
      <c r="R469" s="145"/>
      <c r="T469" s="146"/>
      <c r="U469" s="143"/>
      <c r="V469" s="143"/>
      <c r="W469" s="143"/>
      <c r="X469" s="143"/>
      <c r="Y469" s="143"/>
      <c r="Z469" s="143"/>
      <c r="AA469" s="147"/>
      <c r="AT469" s="148" t="s">
        <v>169</v>
      </c>
      <c r="AU469" s="148" t="s">
        <v>106</v>
      </c>
      <c r="AV469" s="148" t="s">
        <v>106</v>
      </c>
      <c r="AW469" s="148" t="s">
        <v>114</v>
      </c>
      <c r="AX469" s="148" t="s">
        <v>16</v>
      </c>
      <c r="AY469" s="148" t="s">
        <v>161</v>
      </c>
    </row>
    <row r="470" spans="2:64" s="7" customFormat="1" ht="27" customHeight="1">
      <c r="B470" s="23"/>
      <c r="C470" s="135" t="s">
        <v>677</v>
      </c>
      <c r="D470" s="135" t="s">
        <v>163</v>
      </c>
      <c r="E470" s="136" t="s">
        <v>678</v>
      </c>
      <c r="F470" s="217" t="s">
        <v>679</v>
      </c>
      <c r="G470" s="213"/>
      <c r="H470" s="213"/>
      <c r="I470" s="213"/>
      <c r="J470" s="137" t="s">
        <v>268</v>
      </c>
      <c r="K470" s="138">
        <v>60</v>
      </c>
      <c r="L470" s="212">
        <v>0</v>
      </c>
      <c r="M470" s="213"/>
      <c r="N470" s="214">
        <f>ROUND($L$470*$K$470,2)</f>
        <v>0</v>
      </c>
      <c r="O470" s="213"/>
      <c r="P470" s="213"/>
      <c r="Q470" s="213"/>
      <c r="R470" s="25"/>
      <c r="T470" s="139"/>
      <c r="U470" s="31" t="s">
        <v>41</v>
      </c>
      <c r="V470" s="140">
        <v>0.404</v>
      </c>
      <c r="W470" s="140">
        <f>$V$470*$K$470</f>
        <v>24.240000000000002</v>
      </c>
      <c r="X470" s="140">
        <v>0.00124</v>
      </c>
      <c r="Y470" s="140">
        <f>$X$470*$K$470</f>
        <v>0.0744</v>
      </c>
      <c r="Z470" s="140">
        <v>0</v>
      </c>
      <c r="AA470" s="141">
        <f>$Z$470*$K$470</f>
        <v>0</v>
      </c>
      <c r="AR470" s="7" t="s">
        <v>386</v>
      </c>
      <c r="AT470" s="7" t="s">
        <v>163</v>
      </c>
      <c r="AU470" s="7" t="s">
        <v>106</v>
      </c>
      <c r="AY470" s="7" t="s">
        <v>161</v>
      </c>
      <c r="BE470" s="89">
        <f>IF($U$470="základní",$N$470,0)</f>
        <v>0</v>
      </c>
      <c r="BF470" s="89">
        <f>IF($U$470="snížená",$N$470,0)</f>
        <v>0</v>
      </c>
      <c r="BG470" s="89">
        <f>IF($U$470="zákl. přenesená",$N$470,0)</f>
        <v>0</v>
      </c>
      <c r="BH470" s="89">
        <f>IF($U$470="sníž. přenesená",$N$470,0)</f>
        <v>0</v>
      </c>
      <c r="BI470" s="89">
        <f>IF($U$470="nulová",$N$470,0)</f>
        <v>0</v>
      </c>
      <c r="BJ470" s="7" t="s">
        <v>16</v>
      </c>
      <c r="BK470" s="89">
        <f>ROUND($L$470*$K$470,2)</f>
        <v>0</v>
      </c>
      <c r="BL470" s="7" t="s">
        <v>386</v>
      </c>
    </row>
    <row r="471" spans="2:51" s="7" customFormat="1" ht="15.75" customHeight="1">
      <c r="B471" s="142"/>
      <c r="C471" s="143"/>
      <c r="D471" s="143"/>
      <c r="E471" s="143"/>
      <c r="F471" s="215" t="s">
        <v>680</v>
      </c>
      <c r="G471" s="216"/>
      <c r="H471" s="216"/>
      <c r="I471" s="216"/>
      <c r="J471" s="143"/>
      <c r="K471" s="144">
        <v>60</v>
      </c>
      <c r="L471" s="143"/>
      <c r="M471" s="143"/>
      <c r="N471" s="143"/>
      <c r="O471" s="143"/>
      <c r="P471" s="143"/>
      <c r="Q471" s="143"/>
      <c r="R471" s="145"/>
      <c r="T471" s="146"/>
      <c r="U471" s="143"/>
      <c r="V471" s="143"/>
      <c r="W471" s="143"/>
      <c r="X471" s="143"/>
      <c r="Y471" s="143"/>
      <c r="Z471" s="143"/>
      <c r="AA471" s="147"/>
      <c r="AT471" s="148" t="s">
        <v>169</v>
      </c>
      <c r="AU471" s="148" t="s">
        <v>106</v>
      </c>
      <c r="AV471" s="148" t="s">
        <v>106</v>
      </c>
      <c r="AW471" s="148" t="s">
        <v>114</v>
      </c>
      <c r="AX471" s="148" t="s">
        <v>16</v>
      </c>
      <c r="AY471" s="148" t="s">
        <v>161</v>
      </c>
    </row>
    <row r="472" spans="2:64" s="7" customFormat="1" ht="15.75" customHeight="1">
      <c r="B472" s="23"/>
      <c r="C472" s="135" t="s">
        <v>681</v>
      </c>
      <c r="D472" s="135" t="s">
        <v>163</v>
      </c>
      <c r="E472" s="136" t="s">
        <v>682</v>
      </c>
      <c r="F472" s="217" t="s">
        <v>683</v>
      </c>
      <c r="G472" s="213"/>
      <c r="H472" s="213"/>
      <c r="I472" s="213"/>
      <c r="J472" s="137" t="s">
        <v>268</v>
      </c>
      <c r="K472" s="138">
        <v>7</v>
      </c>
      <c r="L472" s="212">
        <v>0</v>
      </c>
      <c r="M472" s="213"/>
      <c r="N472" s="214">
        <f>ROUND($L$472*$K$472,2)</f>
        <v>0</v>
      </c>
      <c r="O472" s="213"/>
      <c r="P472" s="213"/>
      <c r="Q472" s="213"/>
      <c r="R472" s="25"/>
      <c r="T472" s="139"/>
      <c r="U472" s="31" t="s">
        <v>41</v>
      </c>
      <c r="V472" s="140">
        <v>0.452</v>
      </c>
      <c r="W472" s="140">
        <f>$V$472*$K$472</f>
        <v>3.164</v>
      </c>
      <c r="X472" s="140">
        <v>0.00283</v>
      </c>
      <c r="Y472" s="140">
        <f>$X$472*$K$472</f>
        <v>0.01981</v>
      </c>
      <c r="Z472" s="140">
        <v>0</v>
      </c>
      <c r="AA472" s="141">
        <f>$Z$472*$K$472</f>
        <v>0</v>
      </c>
      <c r="AR472" s="7" t="s">
        <v>386</v>
      </c>
      <c r="AT472" s="7" t="s">
        <v>163</v>
      </c>
      <c r="AU472" s="7" t="s">
        <v>106</v>
      </c>
      <c r="AY472" s="7" t="s">
        <v>161</v>
      </c>
      <c r="BE472" s="89">
        <f>IF($U$472="základní",$N$472,0)</f>
        <v>0</v>
      </c>
      <c r="BF472" s="89">
        <f>IF($U$472="snížená",$N$472,0)</f>
        <v>0</v>
      </c>
      <c r="BG472" s="89">
        <f>IF($U$472="zákl. přenesená",$N$472,0)</f>
        <v>0</v>
      </c>
      <c r="BH472" s="89">
        <f>IF($U$472="sníž. přenesená",$N$472,0)</f>
        <v>0</v>
      </c>
      <c r="BI472" s="89">
        <f>IF($U$472="nulová",$N$472,0)</f>
        <v>0</v>
      </c>
      <c r="BJ472" s="7" t="s">
        <v>16</v>
      </c>
      <c r="BK472" s="89">
        <f>ROUND($L$472*$K$472,2)</f>
        <v>0</v>
      </c>
      <c r="BL472" s="7" t="s">
        <v>386</v>
      </c>
    </row>
    <row r="473" spans="2:64" s="7" customFormat="1" ht="15.75" customHeight="1">
      <c r="B473" s="23"/>
      <c r="C473" s="135" t="s">
        <v>684</v>
      </c>
      <c r="D473" s="135" t="s">
        <v>163</v>
      </c>
      <c r="E473" s="136" t="s">
        <v>685</v>
      </c>
      <c r="F473" s="217" t="s">
        <v>686</v>
      </c>
      <c r="G473" s="213"/>
      <c r="H473" s="213"/>
      <c r="I473" s="213"/>
      <c r="J473" s="137" t="s">
        <v>268</v>
      </c>
      <c r="K473" s="138">
        <v>1.2</v>
      </c>
      <c r="L473" s="212">
        <v>0</v>
      </c>
      <c r="M473" s="213"/>
      <c r="N473" s="214">
        <f>ROUND($L$473*$K$473,2)</f>
        <v>0</v>
      </c>
      <c r="O473" s="213"/>
      <c r="P473" s="213"/>
      <c r="Q473" s="213"/>
      <c r="R473" s="25"/>
      <c r="T473" s="139"/>
      <c r="U473" s="31" t="s">
        <v>41</v>
      </c>
      <c r="V473" s="140">
        <v>0.291</v>
      </c>
      <c r="W473" s="140">
        <f>$V$473*$K$473</f>
        <v>0.34919999999999995</v>
      </c>
      <c r="X473" s="140">
        <v>0.00273</v>
      </c>
      <c r="Y473" s="140">
        <f>$X$473*$K$473</f>
        <v>0.003276</v>
      </c>
      <c r="Z473" s="140">
        <v>0</v>
      </c>
      <c r="AA473" s="141">
        <f>$Z$473*$K$473</f>
        <v>0</v>
      </c>
      <c r="AR473" s="7" t="s">
        <v>386</v>
      </c>
      <c r="AT473" s="7" t="s">
        <v>163</v>
      </c>
      <c r="AU473" s="7" t="s">
        <v>106</v>
      </c>
      <c r="AY473" s="7" t="s">
        <v>161</v>
      </c>
      <c r="BE473" s="89">
        <f>IF($U$473="základní",$N$473,0)</f>
        <v>0</v>
      </c>
      <c r="BF473" s="89">
        <f>IF($U$473="snížená",$N$473,0)</f>
        <v>0</v>
      </c>
      <c r="BG473" s="89">
        <f>IF($U$473="zákl. přenesená",$N$473,0)</f>
        <v>0</v>
      </c>
      <c r="BH473" s="89">
        <f>IF($U$473="sníž. přenesená",$N$473,0)</f>
        <v>0</v>
      </c>
      <c r="BI473" s="89">
        <f>IF($U$473="nulová",$N$473,0)</f>
        <v>0</v>
      </c>
      <c r="BJ473" s="7" t="s">
        <v>16</v>
      </c>
      <c r="BK473" s="89">
        <f>ROUND($L$473*$K$473,2)</f>
        <v>0</v>
      </c>
      <c r="BL473" s="7" t="s">
        <v>386</v>
      </c>
    </row>
    <row r="474" spans="2:64" s="7" customFormat="1" ht="15.75" customHeight="1">
      <c r="B474" s="23"/>
      <c r="C474" s="135" t="s">
        <v>687</v>
      </c>
      <c r="D474" s="135" t="s">
        <v>163</v>
      </c>
      <c r="E474" s="136" t="s">
        <v>688</v>
      </c>
      <c r="F474" s="217" t="s">
        <v>689</v>
      </c>
      <c r="G474" s="213"/>
      <c r="H474" s="213"/>
      <c r="I474" s="213"/>
      <c r="J474" s="137" t="s">
        <v>268</v>
      </c>
      <c r="K474" s="138">
        <v>4.5</v>
      </c>
      <c r="L474" s="212">
        <v>0</v>
      </c>
      <c r="M474" s="213"/>
      <c r="N474" s="214">
        <f>ROUND($L$474*$K$474,2)</f>
        <v>0</v>
      </c>
      <c r="O474" s="213"/>
      <c r="P474" s="213"/>
      <c r="Q474" s="213"/>
      <c r="R474" s="25"/>
      <c r="T474" s="139"/>
      <c r="U474" s="31" t="s">
        <v>41</v>
      </c>
      <c r="V474" s="140">
        <v>0.377</v>
      </c>
      <c r="W474" s="140">
        <f>$V$474*$K$474</f>
        <v>1.6965</v>
      </c>
      <c r="X474" s="140">
        <v>0.00413</v>
      </c>
      <c r="Y474" s="140">
        <f>$X$474*$K$474</f>
        <v>0.018585</v>
      </c>
      <c r="Z474" s="140">
        <v>0</v>
      </c>
      <c r="AA474" s="141">
        <f>$Z$474*$K$474</f>
        <v>0</v>
      </c>
      <c r="AR474" s="7" t="s">
        <v>386</v>
      </c>
      <c r="AT474" s="7" t="s">
        <v>163</v>
      </c>
      <c r="AU474" s="7" t="s">
        <v>106</v>
      </c>
      <c r="AY474" s="7" t="s">
        <v>161</v>
      </c>
      <c r="BE474" s="89">
        <f>IF($U$474="základní",$N$474,0)</f>
        <v>0</v>
      </c>
      <c r="BF474" s="89">
        <f>IF($U$474="snížená",$N$474,0)</f>
        <v>0</v>
      </c>
      <c r="BG474" s="89">
        <f>IF($U$474="zákl. přenesená",$N$474,0)</f>
        <v>0</v>
      </c>
      <c r="BH474" s="89">
        <f>IF($U$474="sníž. přenesená",$N$474,0)</f>
        <v>0</v>
      </c>
      <c r="BI474" s="89">
        <f>IF($U$474="nulová",$N$474,0)</f>
        <v>0</v>
      </c>
      <c r="BJ474" s="7" t="s">
        <v>16</v>
      </c>
      <c r="BK474" s="89">
        <f>ROUND($L$474*$K$474,2)</f>
        <v>0</v>
      </c>
      <c r="BL474" s="7" t="s">
        <v>386</v>
      </c>
    </row>
    <row r="475" spans="2:51" s="7" customFormat="1" ht="15.75" customHeight="1">
      <c r="B475" s="142"/>
      <c r="C475" s="143"/>
      <c r="D475" s="143"/>
      <c r="E475" s="143"/>
      <c r="F475" s="215" t="s">
        <v>690</v>
      </c>
      <c r="G475" s="216"/>
      <c r="H475" s="216"/>
      <c r="I475" s="216"/>
      <c r="J475" s="143"/>
      <c r="K475" s="144">
        <v>4.5</v>
      </c>
      <c r="L475" s="143"/>
      <c r="M475" s="143"/>
      <c r="N475" s="143"/>
      <c r="O475" s="143"/>
      <c r="P475" s="143"/>
      <c r="Q475" s="143"/>
      <c r="R475" s="145"/>
      <c r="T475" s="146"/>
      <c r="U475" s="143"/>
      <c r="V475" s="143"/>
      <c r="W475" s="143"/>
      <c r="X475" s="143"/>
      <c r="Y475" s="143"/>
      <c r="Z475" s="143"/>
      <c r="AA475" s="147"/>
      <c r="AT475" s="148" t="s">
        <v>169</v>
      </c>
      <c r="AU475" s="148" t="s">
        <v>106</v>
      </c>
      <c r="AV475" s="148" t="s">
        <v>106</v>
      </c>
      <c r="AW475" s="148" t="s">
        <v>114</v>
      </c>
      <c r="AX475" s="148" t="s">
        <v>16</v>
      </c>
      <c r="AY475" s="148" t="s">
        <v>161</v>
      </c>
    </row>
    <row r="476" spans="2:64" s="7" customFormat="1" ht="27" customHeight="1">
      <c r="B476" s="23"/>
      <c r="C476" s="135" t="s">
        <v>691</v>
      </c>
      <c r="D476" s="135" t="s">
        <v>163</v>
      </c>
      <c r="E476" s="136" t="s">
        <v>692</v>
      </c>
      <c r="F476" s="217" t="s">
        <v>693</v>
      </c>
      <c r="G476" s="213"/>
      <c r="H476" s="213"/>
      <c r="I476" s="213"/>
      <c r="J476" s="137" t="s">
        <v>192</v>
      </c>
      <c r="K476" s="138">
        <v>0.21</v>
      </c>
      <c r="L476" s="212">
        <v>0</v>
      </c>
      <c r="M476" s="213"/>
      <c r="N476" s="214">
        <f>ROUND($L$476*$K$476,2)</f>
        <v>0</v>
      </c>
      <c r="O476" s="213"/>
      <c r="P476" s="213"/>
      <c r="Q476" s="213"/>
      <c r="R476" s="25"/>
      <c r="T476" s="139"/>
      <c r="U476" s="31" t="s">
        <v>41</v>
      </c>
      <c r="V476" s="140">
        <v>4.82</v>
      </c>
      <c r="W476" s="140">
        <f>$V$476*$K$476</f>
        <v>1.0122</v>
      </c>
      <c r="X476" s="140">
        <v>0</v>
      </c>
      <c r="Y476" s="140">
        <f>$X$476*$K$476</f>
        <v>0</v>
      </c>
      <c r="Z476" s="140">
        <v>0</v>
      </c>
      <c r="AA476" s="141">
        <f>$Z$476*$K$476</f>
        <v>0</v>
      </c>
      <c r="AR476" s="7" t="s">
        <v>386</v>
      </c>
      <c r="AT476" s="7" t="s">
        <v>163</v>
      </c>
      <c r="AU476" s="7" t="s">
        <v>106</v>
      </c>
      <c r="AY476" s="7" t="s">
        <v>161</v>
      </c>
      <c r="BE476" s="89">
        <f>IF($U$476="základní",$N$476,0)</f>
        <v>0</v>
      </c>
      <c r="BF476" s="89">
        <f>IF($U$476="snížená",$N$476,0)</f>
        <v>0</v>
      </c>
      <c r="BG476" s="89">
        <f>IF($U$476="zákl. přenesená",$N$476,0)</f>
        <v>0</v>
      </c>
      <c r="BH476" s="89">
        <f>IF($U$476="sníž. přenesená",$N$476,0)</f>
        <v>0</v>
      </c>
      <c r="BI476" s="89">
        <f>IF($U$476="nulová",$N$476,0)</f>
        <v>0</v>
      </c>
      <c r="BJ476" s="7" t="s">
        <v>16</v>
      </c>
      <c r="BK476" s="89">
        <f>ROUND($L$476*$K$476,2)</f>
        <v>0</v>
      </c>
      <c r="BL476" s="7" t="s">
        <v>386</v>
      </c>
    </row>
    <row r="477" spans="2:63" s="124" customFormat="1" ht="30.75" customHeight="1">
      <c r="B477" s="125"/>
      <c r="C477" s="126"/>
      <c r="D477" s="134" t="s">
        <v>131</v>
      </c>
      <c r="E477" s="126"/>
      <c r="F477" s="126"/>
      <c r="G477" s="126"/>
      <c r="H477" s="126"/>
      <c r="I477" s="126"/>
      <c r="J477" s="126"/>
      <c r="K477" s="126"/>
      <c r="L477" s="126"/>
      <c r="M477" s="126"/>
      <c r="N477" s="206">
        <f>$BK$477</f>
        <v>0</v>
      </c>
      <c r="O477" s="207"/>
      <c r="P477" s="207"/>
      <c r="Q477" s="207"/>
      <c r="R477" s="128"/>
      <c r="T477" s="129"/>
      <c r="U477" s="126"/>
      <c r="V477" s="126"/>
      <c r="W477" s="130">
        <f>SUM($W$478:$W$484)</f>
        <v>5.66407</v>
      </c>
      <c r="X477" s="126"/>
      <c r="Y477" s="130">
        <f>SUM($Y$478:$Y$484)</f>
        <v>0.11442</v>
      </c>
      <c r="Z477" s="126"/>
      <c r="AA477" s="131">
        <f>SUM($AA$478:$AA$484)</f>
        <v>0.028</v>
      </c>
      <c r="AR477" s="132" t="s">
        <v>106</v>
      </c>
      <c r="AT477" s="132" t="s">
        <v>75</v>
      </c>
      <c r="AU477" s="132" t="s">
        <v>16</v>
      </c>
      <c r="AY477" s="132" t="s">
        <v>161</v>
      </c>
      <c r="BK477" s="133">
        <f>SUM($BK$478:$BK$484)</f>
        <v>0</v>
      </c>
    </row>
    <row r="478" spans="2:64" s="7" customFormat="1" ht="15.75" customHeight="1">
      <c r="B478" s="23"/>
      <c r="C478" s="135" t="s">
        <v>694</v>
      </c>
      <c r="D478" s="135" t="s">
        <v>163</v>
      </c>
      <c r="E478" s="136" t="s">
        <v>695</v>
      </c>
      <c r="F478" s="217" t="s">
        <v>696</v>
      </c>
      <c r="G478" s="213"/>
      <c r="H478" s="213"/>
      <c r="I478" s="213"/>
      <c r="J478" s="137" t="s">
        <v>254</v>
      </c>
      <c r="K478" s="138">
        <v>1</v>
      </c>
      <c r="L478" s="212">
        <v>0</v>
      </c>
      <c r="M478" s="213"/>
      <c r="N478" s="214">
        <f>ROUND($L$478*$K$478,2)</f>
        <v>0</v>
      </c>
      <c r="O478" s="213"/>
      <c r="P478" s="213"/>
      <c r="Q478" s="213"/>
      <c r="R478" s="25"/>
      <c r="T478" s="139"/>
      <c r="U478" s="31" t="s">
        <v>41</v>
      </c>
      <c r="V478" s="140">
        <v>3.492</v>
      </c>
      <c r="W478" s="140">
        <f>$V$478*$K$478</f>
        <v>3.492</v>
      </c>
      <c r="X478" s="140">
        <v>0.00042</v>
      </c>
      <c r="Y478" s="140">
        <f>$X$478*$K$478</f>
        <v>0.00042</v>
      </c>
      <c r="Z478" s="140">
        <v>0</v>
      </c>
      <c r="AA478" s="141">
        <f>$Z$478*$K$478</f>
        <v>0</v>
      </c>
      <c r="AR478" s="7" t="s">
        <v>386</v>
      </c>
      <c r="AT478" s="7" t="s">
        <v>163</v>
      </c>
      <c r="AU478" s="7" t="s">
        <v>106</v>
      </c>
      <c r="AY478" s="7" t="s">
        <v>161</v>
      </c>
      <c r="BE478" s="89">
        <f>IF($U$478="základní",$N$478,0)</f>
        <v>0</v>
      </c>
      <c r="BF478" s="89">
        <f>IF($U$478="snížená",$N$478,0)</f>
        <v>0</v>
      </c>
      <c r="BG478" s="89">
        <f>IF($U$478="zákl. přenesená",$N$478,0)</f>
        <v>0</v>
      </c>
      <c r="BH478" s="89">
        <f>IF($U$478="sníž. přenesená",$N$478,0)</f>
        <v>0</v>
      </c>
      <c r="BI478" s="89">
        <f>IF($U$478="nulová",$N$478,0)</f>
        <v>0</v>
      </c>
      <c r="BJ478" s="7" t="s">
        <v>16</v>
      </c>
      <c r="BK478" s="89">
        <f>ROUND($L$478*$K$478,2)</f>
        <v>0</v>
      </c>
      <c r="BL478" s="7" t="s">
        <v>386</v>
      </c>
    </row>
    <row r="479" spans="2:64" s="7" customFormat="1" ht="27" customHeight="1">
      <c r="B479" s="23"/>
      <c r="C479" s="156" t="s">
        <v>697</v>
      </c>
      <c r="D479" s="156" t="s">
        <v>201</v>
      </c>
      <c r="E479" s="157" t="s">
        <v>698</v>
      </c>
      <c r="F479" s="219" t="s">
        <v>699</v>
      </c>
      <c r="G479" s="220"/>
      <c r="H479" s="220"/>
      <c r="I479" s="220"/>
      <c r="J479" s="158" t="s">
        <v>254</v>
      </c>
      <c r="K479" s="159">
        <v>1</v>
      </c>
      <c r="L479" s="221">
        <v>0</v>
      </c>
      <c r="M479" s="220"/>
      <c r="N479" s="222">
        <f>ROUND($L$479*$K$479,2)</f>
        <v>0</v>
      </c>
      <c r="O479" s="213"/>
      <c r="P479" s="213"/>
      <c r="Q479" s="213"/>
      <c r="R479" s="25"/>
      <c r="T479" s="139"/>
      <c r="U479" s="31" t="s">
        <v>41</v>
      </c>
      <c r="V479" s="140">
        <v>0</v>
      </c>
      <c r="W479" s="140">
        <f>$V$479*$K$479</f>
        <v>0</v>
      </c>
      <c r="X479" s="140">
        <v>0.035</v>
      </c>
      <c r="Y479" s="140">
        <f>$X$479*$K$479</f>
        <v>0.035</v>
      </c>
      <c r="Z479" s="140">
        <v>0</v>
      </c>
      <c r="AA479" s="141">
        <f>$Z$479*$K$479</f>
        <v>0</v>
      </c>
      <c r="AR479" s="7" t="s">
        <v>539</v>
      </c>
      <c r="AT479" s="7" t="s">
        <v>201</v>
      </c>
      <c r="AU479" s="7" t="s">
        <v>106</v>
      </c>
      <c r="AY479" s="7" t="s">
        <v>161</v>
      </c>
      <c r="BE479" s="89">
        <f>IF($U$479="základní",$N$479,0)</f>
        <v>0</v>
      </c>
      <c r="BF479" s="89">
        <f>IF($U$479="snížená",$N$479,0)</f>
        <v>0</v>
      </c>
      <c r="BG479" s="89">
        <f>IF($U$479="zákl. přenesená",$N$479,0)</f>
        <v>0</v>
      </c>
      <c r="BH479" s="89">
        <f>IF($U$479="sníž. přenesená",$N$479,0)</f>
        <v>0</v>
      </c>
      <c r="BI479" s="89">
        <f>IF($U$479="nulová",$N$479,0)</f>
        <v>0</v>
      </c>
      <c r="BJ479" s="7" t="s">
        <v>16</v>
      </c>
      <c r="BK479" s="89">
        <f>ROUND($L$479*$K$479,2)</f>
        <v>0</v>
      </c>
      <c r="BL479" s="7" t="s">
        <v>386</v>
      </c>
    </row>
    <row r="480" spans="2:47" s="7" customFormat="1" ht="25.5" customHeight="1">
      <c r="B480" s="23"/>
      <c r="C480" s="24"/>
      <c r="D480" s="24"/>
      <c r="E480" s="24"/>
      <c r="F480" s="218" t="s">
        <v>700</v>
      </c>
      <c r="G480" s="170"/>
      <c r="H480" s="170"/>
      <c r="I480" s="170"/>
      <c r="J480" s="24"/>
      <c r="K480" s="24"/>
      <c r="L480" s="24"/>
      <c r="M480" s="24"/>
      <c r="N480" s="24"/>
      <c r="O480" s="24"/>
      <c r="P480" s="24"/>
      <c r="Q480" s="24"/>
      <c r="R480" s="25"/>
      <c r="T480" s="60"/>
      <c r="U480" s="24"/>
      <c r="V480" s="24"/>
      <c r="W480" s="24"/>
      <c r="X480" s="24"/>
      <c r="Y480" s="24"/>
      <c r="Z480" s="24"/>
      <c r="AA480" s="61"/>
      <c r="AT480" s="7" t="s">
        <v>198</v>
      </c>
      <c r="AU480" s="7" t="s">
        <v>106</v>
      </c>
    </row>
    <row r="481" spans="2:64" s="7" customFormat="1" ht="27" customHeight="1">
      <c r="B481" s="23"/>
      <c r="C481" s="135" t="s">
        <v>22</v>
      </c>
      <c r="D481" s="135" t="s">
        <v>163</v>
      </c>
      <c r="E481" s="136" t="s">
        <v>701</v>
      </c>
      <c r="F481" s="217" t="s">
        <v>702</v>
      </c>
      <c r="G481" s="213"/>
      <c r="H481" s="213"/>
      <c r="I481" s="213"/>
      <c r="J481" s="137" t="s">
        <v>254</v>
      </c>
      <c r="K481" s="138">
        <v>1</v>
      </c>
      <c r="L481" s="212">
        <v>0</v>
      </c>
      <c r="M481" s="213"/>
      <c r="N481" s="214">
        <f>ROUND($L$481*$K$481,2)</f>
        <v>0</v>
      </c>
      <c r="O481" s="213"/>
      <c r="P481" s="213"/>
      <c r="Q481" s="213"/>
      <c r="R481" s="25"/>
      <c r="T481" s="139"/>
      <c r="U481" s="31" t="s">
        <v>41</v>
      </c>
      <c r="V481" s="140">
        <v>1.825</v>
      </c>
      <c r="W481" s="140">
        <f>$V$481*$K$481</f>
        <v>1.825</v>
      </c>
      <c r="X481" s="140">
        <v>0</v>
      </c>
      <c r="Y481" s="140">
        <f>$X$481*$K$481</f>
        <v>0</v>
      </c>
      <c r="Z481" s="140">
        <v>0</v>
      </c>
      <c r="AA481" s="141">
        <f>$Z$481*$K$481</f>
        <v>0</v>
      </c>
      <c r="AR481" s="7" t="s">
        <v>386</v>
      </c>
      <c r="AT481" s="7" t="s">
        <v>163</v>
      </c>
      <c r="AU481" s="7" t="s">
        <v>106</v>
      </c>
      <c r="AY481" s="7" t="s">
        <v>161</v>
      </c>
      <c r="BE481" s="89">
        <f>IF($U$481="základní",$N$481,0)</f>
        <v>0</v>
      </c>
      <c r="BF481" s="89">
        <f>IF($U$481="snížená",$N$481,0)</f>
        <v>0</v>
      </c>
      <c r="BG481" s="89">
        <f>IF($U$481="zákl. přenesená",$N$481,0)</f>
        <v>0</v>
      </c>
      <c r="BH481" s="89">
        <f>IF($U$481="sníž. přenesená",$N$481,0)</f>
        <v>0</v>
      </c>
      <c r="BI481" s="89">
        <f>IF($U$481="nulová",$N$481,0)</f>
        <v>0</v>
      </c>
      <c r="BJ481" s="7" t="s">
        <v>16</v>
      </c>
      <c r="BK481" s="89">
        <f>ROUND($L$481*$K$481,2)</f>
        <v>0</v>
      </c>
      <c r="BL481" s="7" t="s">
        <v>386</v>
      </c>
    </row>
    <row r="482" spans="2:64" s="7" customFormat="1" ht="15.75" customHeight="1">
      <c r="B482" s="23"/>
      <c r="C482" s="156" t="s">
        <v>703</v>
      </c>
      <c r="D482" s="156" t="s">
        <v>201</v>
      </c>
      <c r="E482" s="157" t="s">
        <v>704</v>
      </c>
      <c r="F482" s="219" t="s">
        <v>705</v>
      </c>
      <c r="G482" s="220"/>
      <c r="H482" s="220"/>
      <c r="I482" s="220"/>
      <c r="J482" s="158" t="s">
        <v>254</v>
      </c>
      <c r="K482" s="159">
        <v>1</v>
      </c>
      <c r="L482" s="221">
        <v>0</v>
      </c>
      <c r="M482" s="220"/>
      <c r="N482" s="222">
        <f>ROUND($L$482*$K$482,2)</f>
        <v>0</v>
      </c>
      <c r="O482" s="213"/>
      <c r="P482" s="213"/>
      <c r="Q482" s="213"/>
      <c r="R482" s="25"/>
      <c r="T482" s="139"/>
      <c r="U482" s="31" t="s">
        <v>41</v>
      </c>
      <c r="V482" s="140">
        <v>0</v>
      </c>
      <c r="W482" s="140">
        <f>$V$482*$K$482</f>
        <v>0</v>
      </c>
      <c r="X482" s="140">
        <v>0.079</v>
      </c>
      <c r="Y482" s="140">
        <f>$X$482*$K$482</f>
        <v>0.079</v>
      </c>
      <c r="Z482" s="140">
        <v>0</v>
      </c>
      <c r="AA482" s="141">
        <f>$Z$482*$K$482</f>
        <v>0</v>
      </c>
      <c r="AR482" s="7" t="s">
        <v>539</v>
      </c>
      <c r="AT482" s="7" t="s">
        <v>201</v>
      </c>
      <c r="AU482" s="7" t="s">
        <v>106</v>
      </c>
      <c r="AY482" s="7" t="s">
        <v>161</v>
      </c>
      <c r="BE482" s="89">
        <f>IF($U$482="základní",$N$482,0)</f>
        <v>0</v>
      </c>
      <c r="BF482" s="89">
        <f>IF($U$482="snížená",$N$482,0)</f>
        <v>0</v>
      </c>
      <c r="BG482" s="89">
        <f>IF($U$482="zákl. přenesená",$N$482,0)</f>
        <v>0</v>
      </c>
      <c r="BH482" s="89">
        <f>IF($U$482="sníž. přenesená",$N$482,0)</f>
        <v>0</v>
      </c>
      <c r="BI482" s="89">
        <f>IF($U$482="nulová",$N$482,0)</f>
        <v>0</v>
      </c>
      <c r="BJ482" s="7" t="s">
        <v>16</v>
      </c>
      <c r="BK482" s="89">
        <f>ROUND($L$482*$K$482,2)</f>
        <v>0</v>
      </c>
      <c r="BL482" s="7" t="s">
        <v>386</v>
      </c>
    </row>
    <row r="483" spans="2:64" s="7" customFormat="1" ht="27" customHeight="1">
      <c r="B483" s="23"/>
      <c r="C483" s="135" t="s">
        <v>167</v>
      </c>
      <c r="D483" s="135" t="s">
        <v>163</v>
      </c>
      <c r="E483" s="136" t="s">
        <v>706</v>
      </c>
      <c r="F483" s="217" t="s">
        <v>707</v>
      </c>
      <c r="G483" s="213"/>
      <c r="H483" s="213"/>
      <c r="I483" s="213"/>
      <c r="J483" s="137" t="s">
        <v>254</v>
      </c>
      <c r="K483" s="138">
        <v>1</v>
      </c>
      <c r="L483" s="212">
        <v>0</v>
      </c>
      <c r="M483" s="213"/>
      <c r="N483" s="214">
        <f>ROUND($L$483*$K$483,2)</f>
        <v>0</v>
      </c>
      <c r="O483" s="213"/>
      <c r="P483" s="213"/>
      <c r="Q483" s="213"/>
      <c r="R483" s="25"/>
      <c r="T483" s="139"/>
      <c r="U483" s="31" t="s">
        <v>41</v>
      </c>
      <c r="V483" s="140">
        <v>0.09</v>
      </c>
      <c r="W483" s="140">
        <f>$V$483*$K$483</f>
        <v>0.09</v>
      </c>
      <c r="X483" s="140">
        <v>0</v>
      </c>
      <c r="Y483" s="140">
        <f>$X$483*$K$483</f>
        <v>0</v>
      </c>
      <c r="Z483" s="140">
        <v>0.028</v>
      </c>
      <c r="AA483" s="141">
        <f>$Z$483*$K$483</f>
        <v>0.028</v>
      </c>
      <c r="AR483" s="7" t="s">
        <v>386</v>
      </c>
      <c r="AT483" s="7" t="s">
        <v>163</v>
      </c>
      <c r="AU483" s="7" t="s">
        <v>106</v>
      </c>
      <c r="AY483" s="7" t="s">
        <v>161</v>
      </c>
      <c r="BE483" s="89">
        <f>IF($U$483="základní",$N$483,0)</f>
        <v>0</v>
      </c>
      <c r="BF483" s="89">
        <f>IF($U$483="snížená",$N$483,0)</f>
        <v>0</v>
      </c>
      <c r="BG483" s="89">
        <f>IF($U$483="zákl. přenesená",$N$483,0)</f>
        <v>0</v>
      </c>
      <c r="BH483" s="89">
        <f>IF($U$483="sníž. přenesená",$N$483,0)</f>
        <v>0</v>
      </c>
      <c r="BI483" s="89">
        <f>IF($U$483="nulová",$N$483,0)</f>
        <v>0</v>
      </c>
      <c r="BJ483" s="7" t="s">
        <v>16</v>
      </c>
      <c r="BK483" s="89">
        <f>ROUND($L$483*$K$483,2)</f>
        <v>0</v>
      </c>
      <c r="BL483" s="7" t="s">
        <v>386</v>
      </c>
    </row>
    <row r="484" spans="2:64" s="7" customFormat="1" ht="27" customHeight="1">
      <c r="B484" s="23"/>
      <c r="C484" s="135" t="s">
        <v>708</v>
      </c>
      <c r="D484" s="135" t="s">
        <v>163</v>
      </c>
      <c r="E484" s="136" t="s">
        <v>709</v>
      </c>
      <c r="F484" s="217" t="s">
        <v>710</v>
      </c>
      <c r="G484" s="213"/>
      <c r="H484" s="213"/>
      <c r="I484" s="213"/>
      <c r="J484" s="137" t="s">
        <v>192</v>
      </c>
      <c r="K484" s="138">
        <v>0.114</v>
      </c>
      <c r="L484" s="212">
        <v>0</v>
      </c>
      <c r="M484" s="213"/>
      <c r="N484" s="214">
        <f>ROUND($L$484*$K$484,2)</f>
        <v>0</v>
      </c>
      <c r="O484" s="213"/>
      <c r="P484" s="213"/>
      <c r="Q484" s="213"/>
      <c r="R484" s="25"/>
      <c r="T484" s="139"/>
      <c r="U484" s="31" t="s">
        <v>41</v>
      </c>
      <c r="V484" s="140">
        <v>2.255</v>
      </c>
      <c r="W484" s="140">
        <f>$V$484*$K$484</f>
        <v>0.25707</v>
      </c>
      <c r="X484" s="140">
        <v>0</v>
      </c>
      <c r="Y484" s="140">
        <f>$X$484*$K$484</f>
        <v>0</v>
      </c>
      <c r="Z484" s="140">
        <v>0</v>
      </c>
      <c r="AA484" s="141">
        <f>$Z$484*$K$484</f>
        <v>0</v>
      </c>
      <c r="AR484" s="7" t="s">
        <v>386</v>
      </c>
      <c r="AT484" s="7" t="s">
        <v>163</v>
      </c>
      <c r="AU484" s="7" t="s">
        <v>106</v>
      </c>
      <c r="AY484" s="7" t="s">
        <v>161</v>
      </c>
      <c r="BE484" s="89">
        <f>IF($U$484="základní",$N$484,0)</f>
        <v>0</v>
      </c>
      <c r="BF484" s="89">
        <f>IF($U$484="snížená",$N$484,0)</f>
        <v>0</v>
      </c>
      <c r="BG484" s="89">
        <f>IF($U$484="zákl. přenesená",$N$484,0)</f>
        <v>0</v>
      </c>
      <c r="BH484" s="89">
        <f>IF($U$484="sníž. přenesená",$N$484,0)</f>
        <v>0</v>
      </c>
      <c r="BI484" s="89">
        <f>IF($U$484="nulová",$N$484,0)</f>
        <v>0</v>
      </c>
      <c r="BJ484" s="7" t="s">
        <v>16</v>
      </c>
      <c r="BK484" s="89">
        <f>ROUND($L$484*$K$484,2)</f>
        <v>0</v>
      </c>
      <c r="BL484" s="7" t="s">
        <v>386</v>
      </c>
    </row>
    <row r="485" spans="2:63" s="124" customFormat="1" ht="30.75" customHeight="1">
      <c r="B485" s="125"/>
      <c r="C485" s="126"/>
      <c r="D485" s="134" t="s">
        <v>132</v>
      </c>
      <c r="E485" s="126"/>
      <c r="F485" s="126"/>
      <c r="G485" s="126"/>
      <c r="H485" s="126"/>
      <c r="I485" s="126"/>
      <c r="J485" s="126"/>
      <c r="K485" s="126"/>
      <c r="L485" s="126"/>
      <c r="M485" s="126"/>
      <c r="N485" s="206">
        <f>$BK$485</f>
        <v>0</v>
      </c>
      <c r="O485" s="207"/>
      <c r="P485" s="207"/>
      <c r="Q485" s="207"/>
      <c r="R485" s="128"/>
      <c r="T485" s="129"/>
      <c r="U485" s="126"/>
      <c r="V485" s="126"/>
      <c r="W485" s="130">
        <f>SUM($W$486:$W$511)</f>
        <v>79.697505</v>
      </c>
      <c r="X485" s="126"/>
      <c r="Y485" s="130">
        <f>SUM($Y$486:$Y$511)</f>
        <v>1.10977975</v>
      </c>
      <c r="Z485" s="126"/>
      <c r="AA485" s="131">
        <f>SUM($AA$486:$AA$511)</f>
        <v>0.21</v>
      </c>
      <c r="AR485" s="132" t="s">
        <v>106</v>
      </c>
      <c r="AT485" s="132" t="s">
        <v>75</v>
      </c>
      <c r="AU485" s="132" t="s">
        <v>16</v>
      </c>
      <c r="AY485" s="132" t="s">
        <v>161</v>
      </c>
      <c r="BK485" s="133">
        <f>SUM($BK$486:$BK$511)</f>
        <v>0</v>
      </c>
    </row>
    <row r="486" spans="2:64" s="7" customFormat="1" ht="27" customHeight="1">
      <c r="B486" s="23"/>
      <c r="C486" s="135" t="s">
        <v>711</v>
      </c>
      <c r="D486" s="135" t="s">
        <v>163</v>
      </c>
      <c r="E486" s="136" t="s">
        <v>712</v>
      </c>
      <c r="F486" s="217" t="s">
        <v>713</v>
      </c>
      <c r="G486" s="213"/>
      <c r="H486" s="213"/>
      <c r="I486" s="213"/>
      <c r="J486" s="137" t="s">
        <v>214</v>
      </c>
      <c r="K486" s="138">
        <v>30</v>
      </c>
      <c r="L486" s="212">
        <v>0</v>
      </c>
      <c r="M486" s="213"/>
      <c r="N486" s="214">
        <f>ROUND($L$486*$K$486,2)</f>
        <v>0</v>
      </c>
      <c r="O486" s="213"/>
      <c r="P486" s="213"/>
      <c r="Q486" s="213"/>
      <c r="R486" s="25"/>
      <c r="T486" s="139"/>
      <c r="U486" s="31" t="s">
        <v>41</v>
      </c>
      <c r="V486" s="140">
        <v>0.55</v>
      </c>
      <c r="W486" s="140">
        <f>$V$486*$K$486</f>
        <v>16.5</v>
      </c>
      <c r="X486" s="140">
        <v>0.00012</v>
      </c>
      <c r="Y486" s="140">
        <f>$X$486*$K$486</f>
        <v>0.0036</v>
      </c>
      <c r="Z486" s="140">
        <v>0</v>
      </c>
      <c r="AA486" s="141">
        <f>$Z$486*$K$486</f>
        <v>0</v>
      </c>
      <c r="AR486" s="7" t="s">
        <v>386</v>
      </c>
      <c r="AT486" s="7" t="s">
        <v>163</v>
      </c>
      <c r="AU486" s="7" t="s">
        <v>106</v>
      </c>
      <c r="AY486" s="7" t="s">
        <v>161</v>
      </c>
      <c r="BE486" s="89">
        <f>IF($U$486="základní",$N$486,0)</f>
        <v>0</v>
      </c>
      <c r="BF486" s="89">
        <f>IF($U$486="snížená",$N$486,0)</f>
        <v>0</v>
      </c>
      <c r="BG486" s="89">
        <f>IF($U$486="zákl. přenesená",$N$486,0)</f>
        <v>0</v>
      </c>
      <c r="BH486" s="89">
        <f>IF($U$486="sníž. přenesená",$N$486,0)</f>
        <v>0</v>
      </c>
      <c r="BI486" s="89">
        <f>IF($U$486="nulová",$N$486,0)</f>
        <v>0</v>
      </c>
      <c r="BJ486" s="7" t="s">
        <v>16</v>
      </c>
      <c r="BK486" s="89">
        <f>ROUND($L$486*$K$486,2)</f>
        <v>0</v>
      </c>
      <c r="BL486" s="7" t="s">
        <v>386</v>
      </c>
    </row>
    <row r="487" spans="2:47" s="7" customFormat="1" ht="15.75" customHeight="1">
      <c r="B487" s="23"/>
      <c r="C487" s="24"/>
      <c r="D487" s="24"/>
      <c r="E487" s="24"/>
      <c r="F487" s="218" t="s">
        <v>714</v>
      </c>
      <c r="G487" s="170"/>
      <c r="H487" s="170"/>
      <c r="I487" s="170"/>
      <c r="J487" s="24"/>
      <c r="K487" s="24"/>
      <c r="L487" s="24"/>
      <c r="M487" s="24"/>
      <c r="N487" s="24"/>
      <c r="O487" s="24"/>
      <c r="P487" s="24"/>
      <c r="Q487" s="24"/>
      <c r="R487" s="25"/>
      <c r="T487" s="60"/>
      <c r="U487" s="24"/>
      <c r="V487" s="24"/>
      <c r="W487" s="24"/>
      <c r="X487" s="24"/>
      <c r="Y487" s="24"/>
      <c r="Z487" s="24"/>
      <c r="AA487" s="61"/>
      <c r="AT487" s="7" t="s">
        <v>198</v>
      </c>
      <c r="AU487" s="7" t="s">
        <v>106</v>
      </c>
    </row>
    <row r="488" spans="2:64" s="7" customFormat="1" ht="15.75" customHeight="1">
      <c r="B488" s="23"/>
      <c r="C488" s="135" t="s">
        <v>715</v>
      </c>
      <c r="D488" s="135" t="s">
        <v>163</v>
      </c>
      <c r="E488" s="136" t="s">
        <v>716</v>
      </c>
      <c r="F488" s="217" t="s">
        <v>717</v>
      </c>
      <c r="G488" s="213"/>
      <c r="H488" s="213"/>
      <c r="I488" s="213"/>
      <c r="J488" s="137" t="s">
        <v>214</v>
      </c>
      <c r="K488" s="138">
        <v>30</v>
      </c>
      <c r="L488" s="212">
        <v>0</v>
      </c>
      <c r="M488" s="213"/>
      <c r="N488" s="214">
        <f>ROUND($L$488*$K$488,2)</f>
        <v>0</v>
      </c>
      <c r="O488" s="213"/>
      <c r="P488" s="213"/>
      <c r="Q488" s="213"/>
      <c r="R488" s="25"/>
      <c r="T488" s="139"/>
      <c r="U488" s="31" t="s">
        <v>41</v>
      </c>
      <c r="V488" s="140">
        <v>0.238</v>
      </c>
      <c r="W488" s="140">
        <f>$V$488*$K$488</f>
        <v>7.14</v>
      </c>
      <c r="X488" s="140">
        <v>0</v>
      </c>
      <c r="Y488" s="140">
        <f>$X$488*$K$488</f>
        <v>0</v>
      </c>
      <c r="Z488" s="140">
        <v>0.007</v>
      </c>
      <c r="AA488" s="141">
        <f>$Z$488*$K$488</f>
        <v>0.21</v>
      </c>
      <c r="AR488" s="7" t="s">
        <v>167</v>
      </c>
      <c r="AT488" s="7" t="s">
        <v>163</v>
      </c>
      <c r="AU488" s="7" t="s">
        <v>106</v>
      </c>
      <c r="AY488" s="7" t="s">
        <v>161</v>
      </c>
      <c r="BE488" s="89">
        <f>IF($U$488="základní",$N$488,0)</f>
        <v>0</v>
      </c>
      <c r="BF488" s="89">
        <f>IF($U$488="snížená",$N$488,0)</f>
        <v>0</v>
      </c>
      <c r="BG488" s="89">
        <f>IF($U$488="zákl. přenesená",$N$488,0)</f>
        <v>0</v>
      </c>
      <c r="BH488" s="89">
        <f>IF($U$488="sníž. přenesená",$N$488,0)</f>
        <v>0</v>
      </c>
      <c r="BI488" s="89">
        <f>IF($U$488="nulová",$N$488,0)</f>
        <v>0</v>
      </c>
      <c r="BJ488" s="7" t="s">
        <v>16</v>
      </c>
      <c r="BK488" s="89">
        <f>ROUND($L$488*$K$488,2)</f>
        <v>0</v>
      </c>
      <c r="BL488" s="7" t="s">
        <v>167</v>
      </c>
    </row>
    <row r="489" spans="2:51" s="7" customFormat="1" ht="15.75" customHeight="1">
      <c r="B489" s="142"/>
      <c r="C489" s="143"/>
      <c r="D489" s="143"/>
      <c r="E489" s="143"/>
      <c r="F489" s="215" t="s">
        <v>617</v>
      </c>
      <c r="G489" s="216"/>
      <c r="H489" s="216"/>
      <c r="I489" s="216"/>
      <c r="J489" s="143"/>
      <c r="K489" s="144">
        <v>30</v>
      </c>
      <c r="L489" s="143"/>
      <c r="M489" s="143"/>
      <c r="N489" s="143"/>
      <c r="O489" s="143"/>
      <c r="P489" s="143"/>
      <c r="Q489" s="143"/>
      <c r="R489" s="145"/>
      <c r="T489" s="146"/>
      <c r="U489" s="143"/>
      <c r="V489" s="143"/>
      <c r="W489" s="143"/>
      <c r="X489" s="143"/>
      <c r="Y489" s="143"/>
      <c r="Z489" s="143"/>
      <c r="AA489" s="147"/>
      <c r="AT489" s="148" t="s">
        <v>169</v>
      </c>
      <c r="AU489" s="148" t="s">
        <v>106</v>
      </c>
      <c r="AV489" s="148" t="s">
        <v>106</v>
      </c>
      <c r="AW489" s="148" t="s">
        <v>114</v>
      </c>
      <c r="AX489" s="148" t="s">
        <v>16</v>
      </c>
      <c r="AY489" s="148" t="s">
        <v>161</v>
      </c>
    </row>
    <row r="490" spans="2:64" s="7" customFormat="1" ht="27" customHeight="1">
      <c r="B490" s="23"/>
      <c r="C490" s="135" t="s">
        <v>718</v>
      </c>
      <c r="D490" s="135" t="s">
        <v>163</v>
      </c>
      <c r="E490" s="136" t="s">
        <v>719</v>
      </c>
      <c r="F490" s="217" t="s">
        <v>720</v>
      </c>
      <c r="G490" s="213"/>
      <c r="H490" s="213"/>
      <c r="I490" s="213"/>
      <c r="J490" s="137" t="s">
        <v>254</v>
      </c>
      <c r="K490" s="138">
        <v>2</v>
      </c>
      <c r="L490" s="212">
        <v>0</v>
      </c>
      <c r="M490" s="213"/>
      <c r="N490" s="214">
        <f>ROUND($L$490*$K$490,2)</f>
        <v>0</v>
      </c>
      <c r="O490" s="213"/>
      <c r="P490" s="213"/>
      <c r="Q490" s="213"/>
      <c r="R490" s="25"/>
      <c r="T490" s="139"/>
      <c r="U490" s="31" t="s">
        <v>41</v>
      </c>
      <c r="V490" s="140">
        <v>12.04</v>
      </c>
      <c r="W490" s="140">
        <f>$V$490*$K$490</f>
        <v>24.08</v>
      </c>
      <c r="X490" s="140">
        <v>0</v>
      </c>
      <c r="Y490" s="140">
        <f>$X$490*$K$490</f>
        <v>0</v>
      </c>
      <c r="Z490" s="140">
        <v>0</v>
      </c>
      <c r="AA490" s="141">
        <f>$Z$490*$K$490</f>
        <v>0</v>
      </c>
      <c r="AR490" s="7" t="s">
        <v>386</v>
      </c>
      <c r="AT490" s="7" t="s">
        <v>163</v>
      </c>
      <c r="AU490" s="7" t="s">
        <v>106</v>
      </c>
      <c r="AY490" s="7" t="s">
        <v>161</v>
      </c>
      <c r="BE490" s="89">
        <f>IF($U$490="základní",$N$490,0)</f>
        <v>0</v>
      </c>
      <c r="BF490" s="89">
        <f>IF($U$490="snížená",$N$490,0)</f>
        <v>0</v>
      </c>
      <c r="BG490" s="89">
        <f>IF($U$490="zákl. přenesená",$N$490,0)</f>
        <v>0</v>
      </c>
      <c r="BH490" s="89">
        <f>IF($U$490="sníž. přenesená",$N$490,0)</f>
        <v>0</v>
      </c>
      <c r="BI490" s="89">
        <f>IF($U$490="nulová",$N$490,0)</f>
        <v>0</v>
      </c>
      <c r="BJ490" s="7" t="s">
        <v>16</v>
      </c>
      <c r="BK490" s="89">
        <f>ROUND($L$490*$K$490,2)</f>
        <v>0</v>
      </c>
      <c r="BL490" s="7" t="s">
        <v>386</v>
      </c>
    </row>
    <row r="491" spans="2:64" s="7" customFormat="1" ht="27" customHeight="1">
      <c r="B491" s="23"/>
      <c r="C491" s="156" t="s">
        <v>721</v>
      </c>
      <c r="D491" s="156" t="s">
        <v>201</v>
      </c>
      <c r="E491" s="157" t="s">
        <v>722</v>
      </c>
      <c r="F491" s="219" t="s">
        <v>723</v>
      </c>
      <c r="G491" s="220"/>
      <c r="H491" s="220"/>
      <c r="I491" s="220"/>
      <c r="J491" s="158" t="s">
        <v>254</v>
      </c>
      <c r="K491" s="159">
        <v>2</v>
      </c>
      <c r="L491" s="221">
        <v>0</v>
      </c>
      <c r="M491" s="220"/>
      <c r="N491" s="222">
        <f>ROUND($L$491*$K$491,2)</f>
        <v>0</v>
      </c>
      <c r="O491" s="213"/>
      <c r="P491" s="213"/>
      <c r="Q491" s="213"/>
      <c r="R491" s="25"/>
      <c r="T491" s="139"/>
      <c r="U491" s="31" t="s">
        <v>41</v>
      </c>
      <c r="V491" s="140">
        <v>0</v>
      </c>
      <c r="W491" s="140">
        <f>$V$491*$K$491</f>
        <v>0</v>
      </c>
      <c r="X491" s="140">
        <v>0.1353</v>
      </c>
      <c r="Y491" s="140">
        <f>$X$491*$K$491</f>
        <v>0.2706</v>
      </c>
      <c r="Z491" s="140">
        <v>0</v>
      </c>
      <c r="AA491" s="141">
        <f>$Z$491*$K$491</f>
        <v>0</v>
      </c>
      <c r="AR491" s="7" t="s">
        <v>539</v>
      </c>
      <c r="AT491" s="7" t="s">
        <v>201</v>
      </c>
      <c r="AU491" s="7" t="s">
        <v>106</v>
      </c>
      <c r="AY491" s="7" t="s">
        <v>161</v>
      </c>
      <c r="BE491" s="89">
        <f>IF($U$491="základní",$N$491,0)</f>
        <v>0</v>
      </c>
      <c r="BF491" s="89">
        <f>IF($U$491="snížená",$N$491,0)</f>
        <v>0</v>
      </c>
      <c r="BG491" s="89">
        <f>IF($U$491="zákl. přenesená",$N$491,0)</f>
        <v>0</v>
      </c>
      <c r="BH491" s="89">
        <f>IF($U$491="sníž. přenesená",$N$491,0)</f>
        <v>0</v>
      </c>
      <c r="BI491" s="89">
        <f>IF($U$491="nulová",$N$491,0)</f>
        <v>0</v>
      </c>
      <c r="BJ491" s="7" t="s">
        <v>16</v>
      </c>
      <c r="BK491" s="89">
        <f>ROUND($L$491*$K$491,2)</f>
        <v>0</v>
      </c>
      <c r="BL491" s="7" t="s">
        <v>386</v>
      </c>
    </row>
    <row r="492" spans="2:64" s="7" customFormat="1" ht="27" customHeight="1">
      <c r="B492" s="23"/>
      <c r="C492" s="156" t="s">
        <v>724</v>
      </c>
      <c r="D492" s="156" t="s">
        <v>201</v>
      </c>
      <c r="E492" s="157" t="s">
        <v>725</v>
      </c>
      <c r="F492" s="219" t="s">
        <v>726</v>
      </c>
      <c r="G492" s="220"/>
      <c r="H492" s="220"/>
      <c r="I492" s="220"/>
      <c r="J492" s="158" t="s">
        <v>254</v>
      </c>
      <c r="K492" s="159">
        <v>4</v>
      </c>
      <c r="L492" s="221">
        <v>0</v>
      </c>
      <c r="M492" s="220"/>
      <c r="N492" s="222">
        <f>ROUND($L$492*$K$492,2)</f>
        <v>0</v>
      </c>
      <c r="O492" s="213"/>
      <c r="P492" s="213"/>
      <c r="Q492" s="213"/>
      <c r="R492" s="25"/>
      <c r="T492" s="139"/>
      <c r="U492" s="31" t="s">
        <v>41</v>
      </c>
      <c r="V492" s="140">
        <v>0</v>
      </c>
      <c r="W492" s="140">
        <f>$V$492*$K$492</f>
        <v>0</v>
      </c>
      <c r="X492" s="140">
        <v>0.0001</v>
      </c>
      <c r="Y492" s="140">
        <f>$X$492*$K$492</f>
        <v>0.0004</v>
      </c>
      <c r="Z492" s="140">
        <v>0</v>
      </c>
      <c r="AA492" s="141">
        <f>$Z$492*$K$492</f>
        <v>0</v>
      </c>
      <c r="AR492" s="7" t="s">
        <v>539</v>
      </c>
      <c r="AT492" s="7" t="s">
        <v>201</v>
      </c>
      <c r="AU492" s="7" t="s">
        <v>106</v>
      </c>
      <c r="AY492" s="7" t="s">
        <v>161</v>
      </c>
      <c r="BE492" s="89">
        <f>IF($U$492="základní",$N$492,0)</f>
        <v>0</v>
      </c>
      <c r="BF492" s="89">
        <f>IF($U$492="snížená",$N$492,0)</f>
        <v>0</v>
      </c>
      <c r="BG492" s="89">
        <f>IF($U$492="zákl. přenesená",$N$492,0)</f>
        <v>0</v>
      </c>
      <c r="BH492" s="89">
        <f>IF($U$492="sníž. přenesená",$N$492,0)</f>
        <v>0</v>
      </c>
      <c r="BI492" s="89">
        <f>IF($U$492="nulová",$N$492,0)</f>
        <v>0</v>
      </c>
      <c r="BJ492" s="7" t="s">
        <v>16</v>
      </c>
      <c r="BK492" s="89">
        <f>ROUND($L$492*$K$492,2)</f>
        <v>0</v>
      </c>
      <c r="BL492" s="7" t="s">
        <v>386</v>
      </c>
    </row>
    <row r="493" spans="2:64" s="7" customFormat="1" ht="27" customHeight="1">
      <c r="B493" s="23"/>
      <c r="C493" s="135" t="s">
        <v>727</v>
      </c>
      <c r="D493" s="135" t="s">
        <v>163</v>
      </c>
      <c r="E493" s="136" t="s">
        <v>728</v>
      </c>
      <c r="F493" s="217" t="s">
        <v>729</v>
      </c>
      <c r="G493" s="213"/>
      <c r="H493" s="213"/>
      <c r="I493" s="213"/>
      <c r="J493" s="137" t="s">
        <v>254</v>
      </c>
      <c r="K493" s="138">
        <v>2</v>
      </c>
      <c r="L493" s="212">
        <v>0</v>
      </c>
      <c r="M493" s="213"/>
      <c r="N493" s="214">
        <f>ROUND($L$493*$K$493,2)</f>
        <v>0</v>
      </c>
      <c r="O493" s="213"/>
      <c r="P493" s="213"/>
      <c r="Q493" s="213"/>
      <c r="R493" s="25"/>
      <c r="T493" s="139"/>
      <c r="U493" s="31" t="s">
        <v>41</v>
      </c>
      <c r="V493" s="140">
        <v>3.5</v>
      </c>
      <c r="W493" s="140">
        <f>$V$493*$K$493</f>
        <v>7</v>
      </c>
      <c r="X493" s="140">
        <v>0</v>
      </c>
      <c r="Y493" s="140">
        <f>$X$493*$K$493</f>
        <v>0</v>
      </c>
      <c r="Z493" s="140">
        <v>0</v>
      </c>
      <c r="AA493" s="141">
        <f>$Z$493*$K$493</f>
        <v>0</v>
      </c>
      <c r="AR493" s="7" t="s">
        <v>386</v>
      </c>
      <c r="AT493" s="7" t="s">
        <v>163</v>
      </c>
      <c r="AU493" s="7" t="s">
        <v>106</v>
      </c>
      <c r="AY493" s="7" t="s">
        <v>161</v>
      </c>
      <c r="BE493" s="89">
        <f>IF($U$493="základní",$N$493,0)</f>
        <v>0</v>
      </c>
      <c r="BF493" s="89">
        <f>IF($U$493="snížená",$N$493,0)</f>
        <v>0</v>
      </c>
      <c r="BG493" s="89">
        <f>IF($U$493="zákl. přenesená",$N$493,0)</f>
        <v>0</v>
      </c>
      <c r="BH493" s="89">
        <f>IF($U$493="sníž. přenesená",$N$493,0)</f>
        <v>0</v>
      </c>
      <c r="BI493" s="89">
        <f>IF($U$493="nulová",$N$493,0)</f>
        <v>0</v>
      </c>
      <c r="BJ493" s="7" t="s">
        <v>16</v>
      </c>
      <c r="BK493" s="89">
        <f>ROUND($L$493*$K$493,2)</f>
        <v>0</v>
      </c>
      <c r="BL493" s="7" t="s">
        <v>386</v>
      </c>
    </row>
    <row r="494" spans="2:64" s="7" customFormat="1" ht="27" customHeight="1">
      <c r="B494" s="23"/>
      <c r="C494" s="156" t="s">
        <v>730</v>
      </c>
      <c r="D494" s="156" t="s">
        <v>201</v>
      </c>
      <c r="E494" s="157" t="s">
        <v>731</v>
      </c>
      <c r="F494" s="219" t="s">
        <v>732</v>
      </c>
      <c r="G494" s="220"/>
      <c r="H494" s="220"/>
      <c r="I494" s="220"/>
      <c r="J494" s="158" t="s">
        <v>254</v>
      </c>
      <c r="K494" s="159">
        <v>2</v>
      </c>
      <c r="L494" s="221">
        <v>0</v>
      </c>
      <c r="M494" s="220"/>
      <c r="N494" s="222">
        <f>ROUND($L$494*$K$494,2)</f>
        <v>0</v>
      </c>
      <c r="O494" s="213"/>
      <c r="P494" s="213"/>
      <c r="Q494" s="213"/>
      <c r="R494" s="25"/>
      <c r="T494" s="139"/>
      <c r="U494" s="31" t="s">
        <v>41</v>
      </c>
      <c r="V494" s="140">
        <v>0</v>
      </c>
      <c r="W494" s="140">
        <f>$V$494*$K$494</f>
        <v>0</v>
      </c>
      <c r="X494" s="140">
        <v>0.012</v>
      </c>
      <c r="Y494" s="140">
        <f>$X$494*$K$494</f>
        <v>0.024</v>
      </c>
      <c r="Z494" s="140">
        <v>0</v>
      </c>
      <c r="AA494" s="141">
        <f>$Z$494*$K$494</f>
        <v>0</v>
      </c>
      <c r="AR494" s="7" t="s">
        <v>539</v>
      </c>
      <c r="AT494" s="7" t="s">
        <v>201</v>
      </c>
      <c r="AU494" s="7" t="s">
        <v>106</v>
      </c>
      <c r="AY494" s="7" t="s">
        <v>161</v>
      </c>
      <c r="BE494" s="89">
        <f>IF($U$494="základní",$N$494,0)</f>
        <v>0</v>
      </c>
      <c r="BF494" s="89">
        <f>IF($U$494="snížená",$N$494,0)</f>
        <v>0</v>
      </c>
      <c r="BG494" s="89">
        <f>IF($U$494="zákl. přenesená",$N$494,0)</f>
        <v>0</v>
      </c>
      <c r="BH494" s="89">
        <f>IF($U$494="sníž. přenesená",$N$494,0)</f>
        <v>0</v>
      </c>
      <c r="BI494" s="89">
        <f>IF($U$494="nulová",$N$494,0)</f>
        <v>0</v>
      </c>
      <c r="BJ494" s="7" t="s">
        <v>16</v>
      </c>
      <c r="BK494" s="89">
        <f>ROUND($L$494*$K$494,2)</f>
        <v>0</v>
      </c>
      <c r="BL494" s="7" t="s">
        <v>386</v>
      </c>
    </row>
    <row r="495" spans="2:64" s="7" customFormat="1" ht="27" customHeight="1">
      <c r="B495" s="23"/>
      <c r="C495" s="135" t="s">
        <v>733</v>
      </c>
      <c r="D495" s="135" t="s">
        <v>163</v>
      </c>
      <c r="E495" s="136" t="s">
        <v>734</v>
      </c>
      <c r="F495" s="217" t="s">
        <v>735</v>
      </c>
      <c r="G495" s="213"/>
      <c r="H495" s="213"/>
      <c r="I495" s="213"/>
      <c r="J495" s="137" t="s">
        <v>254</v>
      </c>
      <c r="K495" s="138">
        <v>1</v>
      </c>
      <c r="L495" s="212">
        <v>0</v>
      </c>
      <c r="M495" s="213"/>
      <c r="N495" s="214">
        <f>ROUND($L$495*$K$495,2)</f>
        <v>0</v>
      </c>
      <c r="O495" s="213"/>
      <c r="P495" s="213"/>
      <c r="Q495" s="213"/>
      <c r="R495" s="25"/>
      <c r="T495" s="139"/>
      <c r="U495" s="31" t="s">
        <v>41</v>
      </c>
      <c r="V495" s="140">
        <v>3.216</v>
      </c>
      <c r="W495" s="140">
        <f>$V$495*$K$495</f>
        <v>3.216</v>
      </c>
      <c r="X495" s="140">
        <v>0.00033</v>
      </c>
      <c r="Y495" s="140">
        <f>$X$495*$K$495</f>
        <v>0.00033</v>
      </c>
      <c r="Z495" s="140">
        <v>0</v>
      </c>
      <c r="AA495" s="141">
        <f>$Z$495*$K$495</f>
        <v>0</v>
      </c>
      <c r="AR495" s="7" t="s">
        <v>386</v>
      </c>
      <c r="AT495" s="7" t="s">
        <v>163</v>
      </c>
      <c r="AU495" s="7" t="s">
        <v>106</v>
      </c>
      <c r="AY495" s="7" t="s">
        <v>161</v>
      </c>
      <c r="BE495" s="89">
        <f>IF($U$495="základní",$N$495,0)</f>
        <v>0</v>
      </c>
      <c r="BF495" s="89">
        <f>IF($U$495="snížená",$N$495,0)</f>
        <v>0</v>
      </c>
      <c r="BG495" s="89">
        <f>IF($U$495="zákl. přenesená",$N$495,0)</f>
        <v>0</v>
      </c>
      <c r="BH495" s="89">
        <f>IF($U$495="sníž. přenesená",$N$495,0)</f>
        <v>0</v>
      </c>
      <c r="BI495" s="89">
        <f>IF($U$495="nulová",$N$495,0)</f>
        <v>0</v>
      </c>
      <c r="BJ495" s="7" t="s">
        <v>16</v>
      </c>
      <c r="BK495" s="89">
        <f>ROUND($L$495*$K$495,2)</f>
        <v>0</v>
      </c>
      <c r="BL495" s="7" t="s">
        <v>386</v>
      </c>
    </row>
    <row r="496" spans="2:64" s="7" customFormat="1" ht="39" customHeight="1">
      <c r="B496" s="23"/>
      <c r="C496" s="156" t="s">
        <v>736</v>
      </c>
      <c r="D496" s="156" t="s">
        <v>201</v>
      </c>
      <c r="E496" s="157" t="s">
        <v>737</v>
      </c>
      <c r="F496" s="219" t="s">
        <v>738</v>
      </c>
      <c r="G496" s="220"/>
      <c r="H496" s="220"/>
      <c r="I496" s="220"/>
      <c r="J496" s="158" t="s">
        <v>254</v>
      </c>
      <c r="K496" s="159">
        <v>1</v>
      </c>
      <c r="L496" s="221">
        <v>0</v>
      </c>
      <c r="M496" s="220"/>
      <c r="N496" s="222">
        <f>ROUND($L$496*$K$496,2)</f>
        <v>0</v>
      </c>
      <c r="O496" s="213"/>
      <c r="P496" s="213"/>
      <c r="Q496" s="213"/>
      <c r="R496" s="25"/>
      <c r="T496" s="139"/>
      <c r="U496" s="31" t="s">
        <v>41</v>
      </c>
      <c r="V496" s="140">
        <v>0</v>
      </c>
      <c r="W496" s="140">
        <f>$V$496*$K$496</f>
        <v>0</v>
      </c>
      <c r="X496" s="140">
        <v>0.35</v>
      </c>
      <c r="Y496" s="140">
        <f>$X$496*$K$496</f>
        <v>0.35</v>
      </c>
      <c r="Z496" s="140">
        <v>0</v>
      </c>
      <c r="AA496" s="141">
        <f>$Z$496*$K$496</f>
        <v>0</v>
      </c>
      <c r="AR496" s="7" t="s">
        <v>539</v>
      </c>
      <c r="AT496" s="7" t="s">
        <v>201</v>
      </c>
      <c r="AU496" s="7" t="s">
        <v>106</v>
      </c>
      <c r="AY496" s="7" t="s">
        <v>161</v>
      </c>
      <c r="BE496" s="89">
        <f>IF($U$496="základní",$N$496,0)</f>
        <v>0</v>
      </c>
      <c r="BF496" s="89">
        <f>IF($U$496="snížená",$N$496,0)</f>
        <v>0</v>
      </c>
      <c r="BG496" s="89">
        <f>IF($U$496="zákl. přenesená",$N$496,0)</f>
        <v>0</v>
      </c>
      <c r="BH496" s="89">
        <f>IF($U$496="sníž. přenesená",$N$496,0)</f>
        <v>0</v>
      </c>
      <c r="BI496" s="89">
        <f>IF($U$496="nulová",$N$496,0)</f>
        <v>0</v>
      </c>
      <c r="BJ496" s="7" t="s">
        <v>16</v>
      </c>
      <c r="BK496" s="89">
        <f>ROUND($L$496*$K$496,2)</f>
        <v>0</v>
      </c>
      <c r="BL496" s="7" t="s">
        <v>386</v>
      </c>
    </row>
    <row r="497" spans="2:64" s="7" customFormat="1" ht="27" customHeight="1">
      <c r="B497" s="23"/>
      <c r="C497" s="135" t="s">
        <v>739</v>
      </c>
      <c r="D497" s="135" t="s">
        <v>163</v>
      </c>
      <c r="E497" s="136" t="s">
        <v>740</v>
      </c>
      <c r="F497" s="217" t="s">
        <v>741</v>
      </c>
      <c r="G497" s="213"/>
      <c r="H497" s="213"/>
      <c r="I497" s="213"/>
      <c r="J497" s="137" t="s">
        <v>742</v>
      </c>
      <c r="K497" s="138">
        <v>426.475</v>
      </c>
      <c r="L497" s="212">
        <v>0</v>
      </c>
      <c r="M497" s="213"/>
      <c r="N497" s="214">
        <f>ROUND($L$497*$K$497,2)</f>
        <v>0</v>
      </c>
      <c r="O497" s="213"/>
      <c r="P497" s="213"/>
      <c r="Q497" s="213"/>
      <c r="R497" s="25"/>
      <c r="T497" s="139"/>
      <c r="U497" s="31" t="s">
        <v>41</v>
      </c>
      <c r="V497" s="140">
        <v>0.045</v>
      </c>
      <c r="W497" s="140">
        <f>$V$497*$K$497</f>
        <v>19.191375</v>
      </c>
      <c r="X497" s="140">
        <v>5E-05</v>
      </c>
      <c r="Y497" s="140">
        <f>$X$497*$K$497</f>
        <v>0.021323750000000002</v>
      </c>
      <c r="Z497" s="140">
        <v>0</v>
      </c>
      <c r="AA497" s="141">
        <f>$Z$497*$K$497</f>
        <v>0</v>
      </c>
      <c r="AR497" s="7" t="s">
        <v>386</v>
      </c>
      <c r="AT497" s="7" t="s">
        <v>163</v>
      </c>
      <c r="AU497" s="7" t="s">
        <v>106</v>
      </c>
      <c r="AY497" s="7" t="s">
        <v>161</v>
      </c>
      <c r="BE497" s="89">
        <f>IF($U$497="základní",$N$497,0)</f>
        <v>0</v>
      </c>
      <c r="BF497" s="89">
        <f>IF($U$497="snížená",$N$497,0)</f>
        <v>0</v>
      </c>
      <c r="BG497" s="89">
        <f>IF($U$497="zákl. přenesená",$N$497,0)</f>
        <v>0</v>
      </c>
      <c r="BH497" s="89">
        <f>IF($U$497="sníž. přenesená",$N$497,0)</f>
        <v>0</v>
      </c>
      <c r="BI497" s="89">
        <f>IF($U$497="nulová",$N$497,0)</f>
        <v>0</v>
      </c>
      <c r="BJ497" s="7" t="s">
        <v>16</v>
      </c>
      <c r="BK497" s="89">
        <f>ROUND($L$497*$K$497,2)</f>
        <v>0</v>
      </c>
      <c r="BL497" s="7" t="s">
        <v>386</v>
      </c>
    </row>
    <row r="498" spans="2:47" s="7" customFormat="1" ht="15.75" customHeight="1">
      <c r="B498" s="23"/>
      <c r="C498" s="24"/>
      <c r="D498" s="24"/>
      <c r="E498" s="24"/>
      <c r="F498" s="218" t="s">
        <v>743</v>
      </c>
      <c r="G498" s="170"/>
      <c r="H498" s="170"/>
      <c r="I498" s="170"/>
      <c r="J498" s="24"/>
      <c r="K498" s="24"/>
      <c r="L498" s="24"/>
      <c r="M498" s="24"/>
      <c r="N498" s="24"/>
      <c r="O498" s="24"/>
      <c r="P498" s="24"/>
      <c r="Q498" s="24"/>
      <c r="R498" s="25"/>
      <c r="T498" s="60"/>
      <c r="U498" s="24"/>
      <c r="V498" s="24"/>
      <c r="W498" s="24"/>
      <c r="X498" s="24"/>
      <c r="Y498" s="24"/>
      <c r="Z498" s="24"/>
      <c r="AA498" s="61"/>
      <c r="AT498" s="7" t="s">
        <v>198</v>
      </c>
      <c r="AU498" s="7" t="s">
        <v>106</v>
      </c>
    </row>
    <row r="499" spans="2:51" s="7" customFormat="1" ht="15.75" customHeight="1">
      <c r="B499" s="142"/>
      <c r="C499" s="143"/>
      <c r="D499" s="143"/>
      <c r="E499" s="143"/>
      <c r="F499" s="215" t="s">
        <v>744</v>
      </c>
      <c r="G499" s="216"/>
      <c r="H499" s="216"/>
      <c r="I499" s="216"/>
      <c r="J499" s="143"/>
      <c r="K499" s="144">
        <v>107.1</v>
      </c>
      <c r="L499" s="143"/>
      <c r="M499" s="143"/>
      <c r="N499" s="143"/>
      <c r="O499" s="143"/>
      <c r="P499" s="143"/>
      <c r="Q499" s="143"/>
      <c r="R499" s="145"/>
      <c r="T499" s="146"/>
      <c r="U499" s="143"/>
      <c r="V499" s="143"/>
      <c r="W499" s="143"/>
      <c r="X499" s="143"/>
      <c r="Y499" s="143"/>
      <c r="Z499" s="143"/>
      <c r="AA499" s="147"/>
      <c r="AT499" s="148" t="s">
        <v>169</v>
      </c>
      <c r="AU499" s="148" t="s">
        <v>106</v>
      </c>
      <c r="AV499" s="148" t="s">
        <v>106</v>
      </c>
      <c r="AW499" s="148" t="s">
        <v>114</v>
      </c>
      <c r="AX499" s="148" t="s">
        <v>76</v>
      </c>
      <c r="AY499" s="148" t="s">
        <v>161</v>
      </c>
    </row>
    <row r="500" spans="2:51" s="7" customFormat="1" ht="15.75" customHeight="1">
      <c r="B500" s="142"/>
      <c r="C500" s="143"/>
      <c r="D500" s="143"/>
      <c r="E500" s="143"/>
      <c r="F500" s="215" t="s">
        <v>745</v>
      </c>
      <c r="G500" s="216"/>
      <c r="H500" s="216"/>
      <c r="I500" s="216"/>
      <c r="J500" s="143"/>
      <c r="K500" s="144">
        <v>12.375</v>
      </c>
      <c r="L500" s="143"/>
      <c r="M500" s="143"/>
      <c r="N500" s="143"/>
      <c r="O500" s="143"/>
      <c r="P500" s="143"/>
      <c r="Q500" s="143"/>
      <c r="R500" s="145"/>
      <c r="T500" s="146"/>
      <c r="U500" s="143"/>
      <c r="V500" s="143"/>
      <c r="W500" s="143"/>
      <c r="X500" s="143"/>
      <c r="Y500" s="143"/>
      <c r="Z500" s="143"/>
      <c r="AA500" s="147"/>
      <c r="AT500" s="148" t="s">
        <v>169</v>
      </c>
      <c r="AU500" s="148" t="s">
        <v>106</v>
      </c>
      <c r="AV500" s="148" t="s">
        <v>106</v>
      </c>
      <c r="AW500" s="148" t="s">
        <v>114</v>
      </c>
      <c r="AX500" s="148" t="s">
        <v>76</v>
      </c>
      <c r="AY500" s="148" t="s">
        <v>161</v>
      </c>
    </row>
    <row r="501" spans="2:51" s="7" customFormat="1" ht="15.75" customHeight="1">
      <c r="B501" s="142"/>
      <c r="C501" s="143"/>
      <c r="D501" s="143"/>
      <c r="E501" s="143"/>
      <c r="F501" s="215" t="s">
        <v>746</v>
      </c>
      <c r="G501" s="216"/>
      <c r="H501" s="216"/>
      <c r="I501" s="216"/>
      <c r="J501" s="143"/>
      <c r="K501" s="144">
        <v>307</v>
      </c>
      <c r="L501" s="143"/>
      <c r="M501" s="143"/>
      <c r="N501" s="143"/>
      <c r="O501" s="143"/>
      <c r="P501" s="143"/>
      <c r="Q501" s="143"/>
      <c r="R501" s="145"/>
      <c r="T501" s="146"/>
      <c r="U501" s="143"/>
      <c r="V501" s="143"/>
      <c r="W501" s="143"/>
      <c r="X501" s="143"/>
      <c r="Y501" s="143"/>
      <c r="Z501" s="143"/>
      <c r="AA501" s="147"/>
      <c r="AT501" s="148" t="s">
        <v>169</v>
      </c>
      <c r="AU501" s="148" t="s">
        <v>106</v>
      </c>
      <c r="AV501" s="148" t="s">
        <v>106</v>
      </c>
      <c r="AW501" s="148" t="s">
        <v>114</v>
      </c>
      <c r="AX501" s="148" t="s">
        <v>76</v>
      </c>
      <c r="AY501" s="148" t="s">
        <v>161</v>
      </c>
    </row>
    <row r="502" spans="2:51" s="7" customFormat="1" ht="15.75" customHeight="1">
      <c r="B502" s="149"/>
      <c r="C502" s="150"/>
      <c r="D502" s="150"/>
      <c r="E502" s="150"/>
      <c r="F502" s="223" t="s">
        <v>178</v>
      </c>
      <c r="G502" s="224"/>
      <c r="H502" s="224"/>
      <c r="I502" s="224"/>
      <c r="J502" s="150"/>
      <c r="K502" s="151">
        <v>426.475</v>
      </c>
      <c r="L502" s="150"/>
      <c r="M502" s="150"/>
      <c r="N502" s="150"/>
      <c r="O502" s="150"/>
      <c r="P502" s="150"/>
      <c r="Q502" s="150"/>
      <c r="R502" s="152"/>
      <c r="T502" s="153"/>
      <c r="U502" s="150"/>
      <c r="V502" s="150"/>
      <c r="W502" s="150"/>
      <c r="X502" s="150"/>
      <c r="Y502" s="150"/>
      <c r="Z502" s="150"/>
      <c r="AA502" s="154"/>
      <c r="AT502" s="155" t="s">
        <v>169</v>
      </c>
      <c r="AU502" s="155" t="s">
        <v>106</v>
      </c>
      <c r="AV502" s="155" t="s">
        <v>167</v>
      </c>
      <c r="AW502" s="155" t="s">
        <v>114</v>
      </c>
      <c r="AX502" s="155" t="s">
        <v>16</v>
      </c>
      <c r="AY502" s="155" t="s">
        <v>161</v>
      </c>
    </row>
    <row r="503" spans="2:64" s="7" customFormat="1" ht="27" customHeight="1">
      <c r="B503" s="23"/>
      <c r="C503" s="156" t="s">
        <v>747</v>
      </c>
      <c r="D503" s="156" t="s">
        <v>201</v>
      </c>
      <c r="E503" s="157" t="s">
        <v>748</v>
      </c>
      <c r="F503" s="219" t="s">
        <v>749</v>
      </c>
      <c r="G503" s="220"/>
      <c r="H503" s="220"/>
      <c r="I503" s="220"/>
      <c r="J503" s="158" t="s">
        <v>268</v>
      </c>
      <c r="K503" s="159">
        <v>3.46</v>
      </c>
      <c r="L503" s="221">
        <v>0</v>
      </c>
      <c r="M503" s="220"/>
      <c r="N503" s="222">
        <f>ROUND($L$503*$K$503,2)</f>
        <v>0</v>
      </c>
      <c r="O503" s="213"/>
      <c r="P503" s="213"/>
      <c r="Q503" s="213"/>
      <c r="R503" s="25"/>
      <c r="T503" s="139"/>
      <c r="U503" s="31" t="s">
        <v>41</v>
      </c>
      <c r="V503" s="140">
        <v>0</v>
      </c>
      <c r="W503" s="140">
        <f>$V$503*$K$503</f>
        <v>0</v>
      </c>
      <c r="X503" s="140">
        <v>0.0331</v>
      </c>
      <c r="Y503" s="140">
        <f>$X$503*$K$503</f>
        <v>0.11452599999999999</v>
      </c>
      <c r="Z503" s="140">
        <v>0</v>
      </c>
      <c r="AA503" s="141">
        <f>$Z$503*$K$503</f>
        <v>0</v>
      </c>
      <c r="AR503" s="7" t="s">
        <v>539</v>
      </c>
      <c r="AT503" s="7" t="s">
        <v>201</v>
      </c>
      <c r="AU503" s="7" t="s">
        <v>106</v>
      </c>
      <c r="AY503" s="7" t="s">
        <v>161</v>
      </c>
      <c r="BE503" s="89">
        <f>IF($U$503="základní",$N$503,0)</f>
        <v>0</v>
      </c>
      <c r="BF503" s="89">
        <f>IF($U$503="snížená",$N$503,0)</f>
        <v>0</v>
      </c>
      <c r="BG503" s="89">
        <f>IF($U$503="zákl. přenesená",$N$503,0)</f>
        <v>0</v>
      </c>
      <c r="BH503" s="89">
        <f>IF($U$503="sníž. přenesená",$N$503,0)</f>
        <v>0</v>
      </c>
      <c r="BI503" s="89">
        <f>IF($U$503="nulová",$N$503,0)</f>
        <v>0</v>
      </c>
      <c r="BJ503" s="7" t="s">
        <v>16</v>
      </c>
      <c r="BK503" s="89">
        <f>ROUND($L$503*$K$503,2)</f>
        <v>0</v>
      </c>
      <c r="BL503" s="7" t="s">
        <v>386</v>
      </c>
    </row>
    <row r="504" spans="2:47" s="7" customFormat="1" ht="25.5" customHeight="1">
      <c r="B504" s="23"/>
      <c r="C504" s="24"/>
      <c r="D504" s="24"/>
      <c r="E504" s="24"/>
      <c r="F504" s="218" t="s">
        <v>750</v>
      </c>
      <c r="G504" s="170"/>
      <c r="H504" s="170"/>
      <c r="I504" s="170"/>
      <c r="J504" s="24"/>
      <c r="K504" s="24"/>
      <c r="L504" s="24"/>
      <c r="M504" s="24"/>
      <c r="N504" s="24"/>
      <c r="O504" s="24"/>
      <c r="P504" s="24"/>
      <c r="Q504" s="24"/>
      <c r="R504" s="25"/>
      <c r="T504" s="60"/>
      <c r="U504" s="24"/>
      <c r="V504" s="24"/>
      <c r="W504" s="24"/>
      <c r="X504" s="24"/>
      <c r="Y504" s="24"/>
      <c r="Z504" s="24"/>
      <c r="AA504" s="61"/>
      <c r="AT504" s="7" t="s">
        <v>198</v>
      </c>
      <c r="AU504" s="7" t="s">
        <v>106</v>
      </c>
    </row>
    <row r="505" spans="2:51" s="7" customFormat="1" ht="15.75" customHeight="1">
      <c r="B505" s="142"/>
      <c r="C505" s="143"/>
      <c r="D505" s="143"/>
      <c r="E505" s="143"/>
      <c r="F505" s="215" t="s">
        <v>751</v>
      </c>
      <c r="G505" s="216"/>
      <c r="H505" s="216"/>
      <c r="I505" s="216"/>
      <c r="J505" s="143"/>
      <c r="K505" s="144">
        <v>3.46</v>
      </c>
      <c r="L505" s="143"/>
      <c r="M505" s="143"/>
      <c r="N505" s="143"/>
      <c r="O505" s="143"/>
      <c r="P505" s="143"/>
      <c r="Q505" s="143"/>
      <c r="R505" s="145"/>
      <c r="T505" s="146"/>
      <c r="U505" s="143"/>
      <c r="V505" s="143"/>
      <c r="W505" s="143"/>
      <c r="X505" s="143"/>
      <c r="Y505" s="143"/>
      <c r="Z505" s="143"/>
      <c r="AA505" s="147"/>
      <c r="AT505" s="148" t="s">
        <v>169</v>
      </c>
      <c r="AU505" s="148" t="s">
        <v>106</v>
      </c>
      <c r="AV505" s="148" t="s">
        <v>106</v>
      </c>
      <c r="AW505" s="148" t="s">
        <v>114</v>
      </c>
      <c r="AX505" s="148" t="s">
        <v>16</v>
      </c>
      <c r="AY505" s="148" t="s">
        <v>161</v>
      </c>
    </row>
    <row r="506" spans="2:64" s="7" customFormat="1" ht="27" customHeight="1">
      <c r="B506" s="23"/>
      <c r="C506" s="156" t="s">
        <v>752</v>
      </c>
      <c r="D506" s="156" t="s">
        <v>201</v>
      </c>
      <c r="E506" s="157" t="s">
        <v>753</v>
      </c>
      <c r="F506" s="219" t="s">
        <v>754</v>
      </c>
      <c r="G506" s="220"/>
      <c r="H506" s="220"/>
      <c r="I506" s="220"/>
      <c r="J506" s="158" t="s">
        <v>192</v>
      </c>
      <c r="K506" s="159">
        <v>0.313</v>
      </c>
      <c r="L506" s="221">
        <v>0</v>
      </c>
      <c r="M506" s="220"/>
      <c r="N506" s="222">
        <f>ROUND($L$506*$K$506,2)</f>
        <v>0</v>
      </c>
      <c r="O506" s="213"/>
      <c r="P506" s="213"/>
      <c r="Q506" s="213"/>
      <c r="R506" s="25"/>
      <c r="T506" s="139"/>
      <c r="U506" s="31" t="s">
        <v>41</v>
      </c>
      <c r="V506" s="140">
        <v>0</v>
      </c>
      <c r="W506" s="140">
        <f>$V$506*$K$506</f>
        <v>0</v>
      </c>
      <c r="X506" s="140">
        <v>1</v>
      </c>
      <c r="Y506" s="140">
        <f>$X$506*$K$506</f>
        <v>0.313</v>
      </c>
      <c r="Z506" s="140">
        <v>0</v>
      </c>
      <c r="AA506" s="141">
        <f>$Z$506*$K$506</f>
        <v>0</v>
      </c>
      <c r="AR506" s="7" t="s">
        <v>204</v>
      </c>
      <c r="AT506" s="7" t="s">
        <v>201</v>
      </c>
      <c r="AU506" s="7" t="s">
        <v>106</v>
      </c>
      <c r="AY506" s="7" t="s">
        <v>161</v>
      </c>
      <c r="BE506" s="89">
        <f>IF($U$506="základní",$N$506,0)</f>
        <v>0</v>
      </c>
      <c r="BF506" s="89">
        <f>IF($U$506="snížená",$N$506,0)</f>
        <v>0</v>
      </c>
      <c r="BG506" s="89">
        <f>IF($U$506="zákl. přenesená",$N$506,0)</f>
        <v>0</v>
      </c>
      <c r="BH506" s="89">
        <f>IF($U$506="sníž. přenesená",$N$506,0)</f>
        <v>0</v>
      </c>
      <c r="BI506" s="89">
        <f>IF($U$506="nulová",$N$506,0)</f>
        <v>0</v>
      </c>
      <c r="BJ506" s="7" t="s">
        <v>16</v>
      </c>
      <c r="BK506" s="89">
        <f>ROUND($L$506*$K$506,2)</f>
        <v>0</v>
      </c>
      <c r="BL506" s="7" t="s">
        <v>167</v>
      </c>
    </row>
    <row r="507" spans="2:47" s="7" customFormat="1" ht="15.75" customHeight="1">
      <c r="B507" s="23"/>
      <c r="C507" s="24"/>
      <c r="D507" s="24"/>
      <c r="E507" s="24"/>
      <c r="F507" s="218" t="s">
        <v>755</v>
      </c>
      <c r="G507" s="170"/>
      <c r="H507" s="170"/>
      <c r="I507" s="170"/>
      <c r="J507" s="24"/>
      <c r="K507" s="24"/>
      <c r="L507" s="24"/>
      <c r="M507" s="24"/>
      <c r="N507" s="24"/>
      <c r="O507" s="24"/>
      <c r="P507" s="24"/>
      <c r="Q507" s="24"/>
      <c r="R507" s="25"/>
      <c r="T507" s="60"/>
      <c r="U507" s="24"/>
      <c r="V507" s="24"/>
      <c r="W507" s="24"/>
      <c r="X507" s="24"/>
      <c r="Y507" s="24"/>
      <c r="Z507" s="24"/>
      <c r="AA507" s="61"/>
      <c r="AT507" s="7" t="s">
        <v>198</v>
      </c>
      <c r="AU507" s="7" t="s">
        <v>106</v>
      </c>
    </row>
    <row r="508" spans="2:51" s="7" customFormat="1" ht="15.75" customHeight="1">
      <c r="B508" s="142"/>
      <c r="C508" s="143"/>
      <c r="D508" s="143"/>
      <c r="E508" s="143"/>
      <c r="F508" s="215" t="s">
        <v>756</v>
      </c>
      <c r="G508" s="216"/>
      <c r="H508" s="216"/>
      <c r="I508" s="216"/>
      <c r="J508" s="143"/>
      <c r="K508" s="144">
        <v>0.313</v>
      </c>
      <c r="L508" s="143"/>
      <c r="M508" s="143"/>
      <c r="N508" s="143"/>
      <c r="O508" s="143"/>
      <c r="P508" s="143"/>
      <c r="Q508" s="143"/>
      <c r="R508" s="145"/>
      <c r="T508" s="146"/>
      <c r="U508" s="143"/>
      <c r="V508" s="143"/>
      <c r="W508" s="143"/>
      <c r="X508" s="143"/>
      <c r="Y508" s="143"/>
      <c r="Z508" s="143"/>
      <c r="AA508" s="147"/>
      <c r="AT508" s="148" t="s">
        <v>169</v>
      </c>
      <c r="AU508" s="148" t="s">
        <v>106</v>
      </c>
      <c r="AV508" s="148" t="s">
        <v>106</v>
      </c>
      <c r="AW508" s="148" t="s">
        <v>114</v>
      </c>
      <c r="AX508" s="148" t="s">
        <v>16</v>
      </c>
      <c r="AY508" s="148" t="s">
        <v>161</v>
      </c>
    </row>
    <row r="509" spans="2:64" s="7" customFormat="1" ht="27" customHeight="1">
      <c r="B509" s="23"/>
      <c r="C509" s="156" t="s">
        <v>757</v>
      </c>
      <c r="D509" s="156" t="s">
        <v>201</v>
      </c>
      <c r="E509" s="157" t="s">
        <v>758</v>
      </c>
      <c r="F509" s="219" t="s">
        <v>759</v>
      </c>
      <c r="G509" s="220"/>
      <c r="H509" s="220"/>
      <c r="I509" s="220"/>
      <c r="J509" s="158" t="s">
        <v>192</v>
      </c>
      <c r="K509" s="159">
        <v>0.012</v>
      </c>
      <c r="L509" s="221">
        <v>0</v>
      </c>
      <c r="M509" s="220"/>
      <c r="N509" s="222">
        <f>ROUND($L$509*$K$509,2)</f>
        <v>0</v>
      </c>
      <c r="O509" s="213"/>
      <c r="P509" s="213"/>
      <c r="Q509" s="213"/>
      <c r="R509" s="25"/>
      <c r="T509" s="139"/>
      <c r="U509" s="31" t="s">
        <v>41</v>
      </c>
      <c r="V509" s="140">
        <v>0</v>
      </c>
      <c r="W509" s="140">
        <f>$V$509*$K$509</f>
        <v>0</v>
      </c>
      <c r="X509" s="140">
        <v>1</v>
      </c>
      <c r="Y509" s="140">
        <f>$X$509*$K$509</f>
        <v>0.012</v>
      </c>
      <c r="Z509" s="140">
        <v>0</v>
      </c>
      <c r="AA509" s="141">
        <f>$Z$509*$K$509</f>
        <v>0</v>
      </c>
      <c r="AR509" s="7" t="s">
        <v>539</v>
      </c>
      <c r="AT509" s="7" t="s">
        <v>201</v>
      </c>
      <c r="AU509" s="7" t="s">
        <v>106</v>
      </c>
      <c r="AY509" s="7" t="s">
        <v>161</v>
      </c>
      <c r="BE509" s="89">
        <f>IF($U$509="základní",$N$509,0)</f>
        <v>0</v>
      </c>
      <c r="BF509" s="89">
        <f>IF($U$509="snížená",$N$509,0)</f>
        <v>0</v>
      </c>
      <c r="BG509" s="89">
        <f>IF($U$509="zákl. přenesená",$N$509,0)</f>
        <v>0</v>
      </c>
      <c r="BH509" s="89">
        <f>IF($U$509="sníž. přenesená",$N$509,0)</f>
        <v>0</v>
      </c>
      <c r="BI509" s="89">
        <f>IF($U$509="nulová",$N$509,0)</f>
        <v>0</v>
      </c>
      <c r="BJ509" s="7" t="s">
        <v>16</v>
      </c>
      <c r="BK509" s="89">
        <f>ROUND($L$509*$K$509,2)</f>
        <v>0</v>
      </c>
      <c r="BL509" s="7" t="s">
        <v>386</v>
      </c>
    </row>
    <row r="510" spans="2:51" s="7" customFormat="1" ht="15.75" customHeight="1">
      <c r="B510" s="142"/>
      <c r="C510" s="143"/>
      <c r="D510" s="143"/>
      <c r="E510" s="143"/>
      <c r="F510" s="215" t="s">
        <v>760</v>
      </c>
      <c r="G510" s="216"/>
      <c r="H510" s="216"/>
      <c r="I510" s="216"/>
      <c r="J510" s="143"/>
      <c r="K510" s="144">
        <v>0.012</v>
      </c>
      <c r="L510" s="143"/>
      <c r="M510" s="143"/>
      <c r="N510" s="143"/>
      <c r="O510" s="143"/>
      <c r="P510" s="143"/>
      <c r="Q510" s="143"/>
      <c r="R510" s="145"/>
      <c r="T510" s="146"/>
      <c r="U510" s="143"/>
      <c r="V510" s="143"/>
      <c r="W510" s="143"/>
      <c r="X510" s="143"/>
      <c r="Y510" s="143"/>
      <c r="Z510" s="143"/>
      <c r="AA510" s="147"/>
      <c r="AT510" s="148" t="s">
        <v>169</v>
      </c>
      <c r="AU510" s="148" t="s">
        <v>106</v>
      </c>
      <c r="AV510" s="148" t="s">
        <v>106</v>
      </c>
      <c r="AW510" s="148" t="s">
        <v>114</v>
      </c>
      <c r="AX510" s="148" t="s">
        <v>16</v>
      </c>
      <c r="AY510" s="148" t="s">
        <v>161</v>
      </c>
    </row>
    <row r="511" spans="2:64" s="7" customFormat="1" ht="27" customHeight="1">
      <c r="B511" s="23"/>
      <c r="C511" s="135" t="s">
        <v>761</v>
      </c>
      <c r="D511" s="135" t="s">
        <v>163</v>
      </c>
      <c r="E511" s="136" t="s">
        <v>762</v>
      </c>
      <c r="F511" s="217" t="s">
        <v>763</v>
      </c>
      <c r="G511" s="213"/>
      <c r="H511" s="213"/>
      <c r="I511" s="213"/>
      <c r="J511" s="137" t="s">
        <v>192</v>
      </c>
      <c r="K511" s="138">
        <v>0.855</v>
      </c>
      <c r="L511" s="212">
        <v>0</v>
      </c>
      <c r="M511" s="213"/>
      <c r="N511" s="214">
        <f>ROUND($L$511*$K$511,2)</f>
        <v>0</v>
      </c>
      <c r="O511" s="213"/>
      <c r="P511" s="213"/>
      <c r="Q511" s="213"/>
      <c r="R511" s="25"/>
      <c r="T511" s="139"/>
      <c r="U511" s="31" t="s">
        <v>41</v>
      </c>
      <c r="V511" s="140">
        <v>3.006</v>
      </c>
      <c r="W511" s="140">
        <f>$V$511*$K$511</f>
        <v>2.57013</v>
      </c>
      <c r="X511" s="140">
        <v>0</v>
      </c>
      <c r="Y511" s="140">
        <f>$X$511*$K$511</f>
        <v>0</v>
      </c>
      <c r="Z511" s="140">
        <v>0</v>
      </c>
      <c r="AA511" s="141">
        <f>$Z$511*$K$511</f>
        <v>0</v>
      </c>
      <c r="AR511" s="7" t="s">
        <v>386</v>
      </c>
      <c r="AT511" s="7" t="s">
        <v>163</v>
      </c>
      <c r="AU511" s="7" t="s">
        <v>106</v>
      </c>
      <c r="AY511" s="7" t="s">
        <v>161</v>
      </c>
      <c r="BE511" s="89">
        <f>IF($U$511="základní",$N$511,0)</f>
        <v>0</v>
      </c>
      <c r="BF511" s="89">
        <f>IF($U$511="snížená",$N$511,0)</f>
        <v>0</v>
      </c>
      <c r="BG511" s="89">
        <f>IF($U$511="zákl. přenesená",$N$511,0)</f>
        <v>0</v>
      </c>
      <c r="BH511" s="89">
        <f>IF($U$511="sníž. přenesená",$N$511,0)</f>
        <v>0</v>
      </c>
      <c r="BI511" s="89">
        <f>IF($U$511="nulová",$N$511,0)</f>
        <v>0</v>
      </c>
      <c r="BJ511" s="7" t="s">
        <v>16</v>
      </c>
      <c r="BK511" s="89">
        <f>ROUND($L$511*$K$511,2)</f>
        <v>0</v>
      </c>
      <c r="BL511" s="7" t="s">
        <v>386</v>
      </c>
    </row>
    <row r="512" spans="2:63" s="124" customFormat="1" ht="30.75" customHeight="1">
      <c r="B512" s="125"/>
      <c r="C512" s="126"/>
      <c r="D512" s="134" t="s">
        <v>133</v>
      </c>
      <c r="E512" s="126"/>
      <c r="F512" s="126"/>
      <c r="G512" s="126"/>
      <c r="H512" s="126"/>
      <c r="I512" s="126"/>
      <c r="J512" s="126"/>
      <c r="K512" s="126"/>
      <c r="L512" s="126"/>
      <c r="M512" s="126"/>
      <c r="N512" s="206">
        <f>$BK$512</f>
        <v>0</v>
      </c>
      <c r="O512" s="207"/>
      <c r="P512" s="207"/>
      <c r="Q512" s="207"/>
      <c r="R512" s="128"/>
      <c r="T512" s="129"/>
      <c r="U512" s="126"/>
      <c r="V512" s="126"/>
      <c r="W512" s="130">
        <f>SUM($W$513:$W$514)</f>
        <v>0.2338</v>
      </c>
      <c r="X512" s="126"/>
      <c r="Y512" s="130">
        <f>SUM($Y$513:$Y$514)</f>
        <v>0.00100534</v>
      </c>
      <c r="Z512" s="126"/>
      <c r="AA512" s="131">
        <f>SUM($AA$513:$AA$514)</f>
        <v>0</v>
      </c>
      <c r="AR512" s="132" t="s">
        <v>106</v>
      </c>
      <c r="AT512" s="132" t="s">
        <v>75</v>
      </c>
      <c r="AU512" s="132" t="s">
        <v>16</v>
      </c>
      <c r="AY512" s="132" t="s">
        <v>161</v>
      </c>
      <c r="BK512" s="133">
        <f>SUM($BK$513:$BK$514)</f>
        <v>0</v>
      </c>
    </row>
    <row r="513" spans="2:64" s="7" customFormat="1" ht="39" customHeight="1">
      <c r="B513" s="23"/>
      <c r="C513" s="135" t="s">
        <v>539</v>
      </c>
      <c r="D513" s="135" t="s">
        <v>163</v>
      </c>
      <c r="E513" s="136" t="s">
        <v>764</v>
      </c>
      <c r="F513" s="217" t="s">
        <v>765</v>
      </c>
      <c r="G513" s="213"/>
      <c r="H513" s="213"/>
      <c r="I513" s="213"/>
      <c r="J513" s="137" t="s">
        <v>214</v>
      </c>
      <c r="K513" s="138">
        <v>2.338</v>
      </c>
      <c r="L513" s="212">
        <v>0</v>
      </c>
      <c r="M513" s="213"/>
      <c r="N513" s="214">
        <f>ROUND($L$513*$K$513,2)</f>
        <v>0</v>
      </c>
      <c r="O513" s="213"/>
      <c r="P513" s="213"/>
      <c r="Q513" s="213"/>
      <c r="R513" s="25"/>
      <c r="T513" s="139"/>
      <c r="U513" s="31" t="s">
        <v>41</v>
      </c>
      <c r="V513" s="140">
        <v>0.1</v>
      </c>
      <c r="W513" s="140">
        <f>$V$513*$K$513</f>
        <v>0.2338</v>
      </c>
      <c r="X513" s="140">
        <v>0.00043</v>
      </c>
      <c r="Y513" s="140">
        <f>$X$513*$K$513</f>
        <v>0.00100534</v>
      </c>
      <c r="Z513" s="140">
        <v>0</v>
      </c>
      <c r="AA513" s="141">
        <f>$Z$513*$K$513</f>
        <v>0</v>
      </c>
      <c r="AR513" s="7" t="s">
        <v>386</v>
      </c>
      <c r="AT513" s="7" t="s">
        <v>163</v>
      </c>
      <c r="AU513" s="7" t="s">
        <v>106</v>
      </c>
      <c r="AY513" s="7" t="s">
        <v>161</v>
      </c>
      <c r="BE513" s="89">
        <f>IF($U$513="základní",$N$513,0)</f>
        <v>0</v>
      </c>
      <c r="BF513" s="89">
        <f>IF($U$513="snížená",$N$513,0)</f>
        <v>0</v>
      </c>
      <c r="BG513" s="89">
        <f>IF($U$513="zákl. přenesená",$N$513,0)</f>
        <v>0</v>
      </c>
      <c r="BH513" s="89">
        <f>IF($U$513="sníž. přenesená",$N$513,0)</f>
        <v>0</v>
      </c>
      <c r="BI513" s="89">
        <f>IF($U$513="nulová",$N$513,0)</f>
        <v>0</v>
      </c>
      <c r="BJ513" s="7" t="s">
        <v>16</v>
      </c>
      <c r="BK513" s="89">
        <f>ROUND($L$513*$K$513,2)</f>
        <v>0</v>
      </c>
      <c r="BL513" s="7" t="s">
        <v>386</v>
      </c>
    </row>
    <row r="514" spans="2:51" s="7" customFormat="1" ht="15.75" customHeight="1">
      <c r="B514" s="142"/>
      <c r="C514" s="143"/>
      <c r="D514" s="143"/>
      <c r="E514" s="143"/>
      <c r="F514" s="215" t="s">
        <v>766</v>
      </c>
      <c r="G514" s="216"/>
      <c r="H514" s="216"/>
      <c r="I514" s="216"/>
      <c r="J514" s="143"/>
      <c r="K514" s="144">
        <v>2.338</v>
      </c>
      <c r="L514" s="143"/>
      <c r="M514" s="143"/>
      <c r="N514" s="143"/>
      <c r="O514" s="143"/>
      <c r="P514" s="143"/>
      <c r="Q514" s="143"/>
      <c r="R514" s="145"/>
      <c r="T514" s="146"/>
      <c r="U514" s="143"/>
      <c r="V514" s="143"/>
      <c r="W514" s="143"/>
      <c r="X514" s="143"/>
      <c r="Y514" s="143"/>
      <c r="Z514" s="143"/>
      <c r="AA514" s="147"/>
      <c r="AT514" s="148" t="s">
        <v>169</v>
      </c>
      <c r="AU514" s="148" t="s">
        <v>106</v>
      </c>
      <c r="AV514" s="148" t="s">
        <v>106</v>
      </c>
      <c r="AW514" s="148" t="s">
        <v>114</v>
      </c>
      <c r="AX514" s="148" t="s">
        <v>16</v>
      </c>
      <c r="AY514" s="148" t="s">
        <v>161</v>
      </c>
    </row>
    <row r="515" spans="2:63" s="124" customFormat="1" ht="37.5" customHeight="1">
      <c r="B515" s="125"/>
      <c r="C515" s="126"/>
      <c r="D515" s="127" t="s">
        <v>134</v>
      </c>
      <c r="E515" s="126"/>
      <c r="F515" s="126"/>
      <c r="G515" s="126"/>
      <c r="H515" s="126"/>
      <c r="I515" s="126"/>
      <c r="J515" s="126"/>
      <c r="K515" s="126"/>
      <c r="L515" s="126"/>
      <c r="M515" s="126"/>
      <c r="N515" s="208">
        <f>$BK$515</f>
        <v>0</v>
      </c>
      <c r="O515" s="207"/>
      <c r="P515" s="207"/>
      <c r="Q515" s="207"/>
      <c r="R515" s="128"/>
      <c r="T515" s="129"/>
      <c r="U515" s="126"/>
      <c r="V515" s="126"/>
      <c r="W515" s="130">
        <f>$W$516</f>
        <v>0</v>
      </c>
      <c r="X515" s="126"/>
      <c r="Y515" s="130">
        <f>$Y$516</f>
        <v>0</v>
      </c>
      <c r="Z515" s="126"/>
      <c r="AA515" s="131">
        <f>$AA$516</f>
        <v>0</v>
      </c>
      <c r="AR515" s="132" t="s">
        <v>516</v>
      </c>
      <c r="AT515" s="132" t="s">
        <v>75</v>
      </c>
      <c r="AU515" s="132" t="s">
        <v>76</v>
      </c>
      <c r="AY515" s="132" t="s">
        <v>161</v>
      </c>
      <c r="BK515" s="133">
        <f>$BK$516</f>
        <v>0</v>
      </c>
    </row>
    <row r="516" spans="2:63" s="124" customFormat="1" ht="21" customHeight="1">
      <c r="B516" s="125"/>
      <c r="C516" s="126"/>
      <c r="D516" s="134" t="s">
        <v>135</v>
      </c>
      <c r="E516" s="126"/>
      <c r="F516" s="126"/>
      <c r="G516" s="126"/>
      <c r="H516" s="126"/>
      <c r="I516" s="126"/>
      <c r="J516" s="126"/>
      <c r="K516" s="126"/>
      <c r="L516" s="126"/>
      <c r="M516" s="126"/>
      <c r="N516" s="206">
        <f>$BK$516</f>
        <v>0</v>
      </c>
      <c r="O516" s="207"/>
      <c r="P516" s="207"/>
      <c r="Q516" s="207"/>
      <c r="R516" s="128"/>
      <c r="T516" s="129"/>
      <c r="U516" s="126"/>
      <c r="V516" s="126"/>
      <c r="W516" s="130">
        <f>$W$517</f>
        <v>0</v>
      </c>
      <c r="X516" s="126"/>
      <c r="Y516" s="130">
        <f>$Y$517</f>
        <v>0</v>
      </c>
      <c r="Z516" s="126"/>
      <c r="AA516" s="131">
        <f>$AA$517</f>
        <v>0</v>
      </c>
      <c r="AR516" s="132" t="s">
        <v>516</v>
      </c>
      <c r="AT516" s="132" t="s">
        <v>75</v>
      </c>
      <c r="AU516" s="132" t="s">
        <v>16</v>
      </c>
      <c r="AY516" s="132" t="s">
        <v>161</v>
      </c>
      <c r="BK516" s="133">
        <f>$BK$517</f>
        <v>0</v>
      </c>
    </row>
    <row r="517" spans="2:64" s="7" customFormat="1" ht="15.75" customHeight="1">
      <c r="B517" s="23"/>
      <c r="C517" s="135"/>
      <c r="D517" s="135"/>
      <c r="E517" s="136"/>
      <c r="F517" s="238" t="s">
        <v>789</v>
      </c>
      <c r="G517" s="239"/>
      <c r="H517" s="239"/>
      <c r="I517" s="239"/>
      <c r="J517" s="137"/>
      <c r="K517" s="138"/>
      <c r="L517" s="212"/>
      <c r="M517" s="213"/>
      <c r="N517" s="214"/>
      <c r="O517" s="213"/>
      <c r="P517" s="213"/>
      <c r="Q517" s="213"/>
      <c r="R517" s="25"/>
      <c r="T517" s="139"/>
      <c r="U517" s="31" t="s">
        <v>41</v>
      </c>
      <c r="V517" s="140">
        <v>0</v>
      </c>
      <c r="W517" s="140">
        <f>$V$517*$K$517</f>
        <v>0</v>
      </c>
      <c r="X517" s="140">
        <v>0</v>
      </c>
      <c r="Y517" s="140">
        <f>$X$517*$K$517</f>
        <v>0</v>
      </c>
      <c r="Z517" s="140">
        <v>0</v>
      </c>
      <c r="AA517" s="141">
        <f>$Z$517*$K$517</f>
        <v>0</v>
      </c>
      <c r="AR517" s="7" t="s">
        <v>715</v>
      </c>
      <c r="AT517" s="7" t="s">
        <v>163</v>
      </c>
      <c r="AU517" s="7" t="s">
        <v>106</v>
      </c>
      <c r="AY517" s="7" t="s">
        <v>161</v>
      </c>
      <c r="BE517" s="89">
        <f>IF($U$517="základní",$N$517,0)</f>
        <v>0</v>
      </c>
      <c r="BF517" s="89">
        <f>IF($U$517="snížená",$N$517,0)</f>
        <v>0</v>
      </c>
      <c r="BG517" s="89">
        <f>IF($U$517="zákl. přenesená",$N$517,0)</f>
        <v>0</v>
      </c>
      <c r="BH517" s="89">
        <f>IF($U$517="sníž. přenesená",$N$517,0)</f>
        <v>0</v>
      </c>
      <c r="BI517" s="89">
        <f>IF($U$517="nulová",$N$517,0)</f>
        <v>0</v>
      </c>
      <c r="BJ517" s="7" t="s">
        <v>16</v>
      </c>
      <c r="BK517" s="89">
        <f>ROUND($L$517*$K$517,2)</f>
        <v>0</v>
      </c>
      <c r="BL517" s="7" t="s">
        <v>715</v>
      </c>
    </row>
    <row r="518" spans="2:63" s="7" customFormat="1" ht="51" customHeight="1">
      <c r="B518" s="23"/>
      <c r="C518" s="24"/>
      <c r="D518" s="127" t="s">
        <v>767</v>
      </c>
      <c r="E518" s="24"/>
      <c r="F518" s="24"/>
      <c r="G518" s="24"/>
      <c r="H518" s="24"/>
      <c r="I518" s="24"/>
      <c r="J518" s="24"/>
      <c r="K518" s="24"/>
      <c r="L518" s="24"/>
      <c r="M518" s="24"/>
      <c r="N518" s="208">
        <f>$BK$518</f>
        <v>0</v>
      </c>
      <c r="O518" s="170"/>
      <c r="P518" s="170"/>
      <c r="Q518" s="170"/>
      <c r="R518" s="25"/>
      <c r="T518" s="60"/>
      <c r="U518" s="24"/>
      <c r="V518" s="24"/>
      <c r="W518" s="24"/>
      <c r="X518" s="24"/>
      <c r="Y518" s="24"/>
      <c r="Z518" s="24"/>
      <c r="AA518" s="61"/>
      <c r="AT518" s="7" t="s">
        <v>75</v>
      </c>
      <c r="AU518" s="7" t="s">
        <v>76</v>
      </c>
      <c r="AY518" s="7" t="s">
        <v>768</v>
      </c>
      <c r="BK518" s="89">
        <f>SUM($BK$519:$BK$523)</f>
        <v>0</v>
      </c>
    </row>
    <row r="519" spans="2:63" s="7" customFormat="1" ht="23.25" customHeight="1">
      <c r="B519" s="23"/>
      <c r="C519" s="160"/>
      <c r="D519" s="160" t="s">
        <v>163</v>
      </c>
      <c r="E519" s="161"/>
      <c r="F519" s="210"/>
      <c r="G519" s="211"/>
      <c r="H519" s="211"/>
      <c r="I519" s="211"/>
      <c r="J519" s="162"/>
      <c r="K519" s="163"/>
      <c r="L519" s="212"/>
      <c r="M519" s="213"/>
      <c r="N519" s="214">
        <f>$BK$519</f>
        <v>0</v>
      </c>
      <c r="O519" s="213"/>
      <c r="P519" s="213"/>
      <c r="Q519" s="213"/>
      <c r="R519" s="25"/>
      <c r="T519" s="139"/>
      <c r="U519" s="164" t="s">
        <v>41</v>
      </c>
      <c r="V519" s="24"/>
      <c r="W519" s="24"/>
      <c r="X519" s="24"/>
      <c r="Y519" s="24"/>
      <c r="Z519" s="24"/>
      <c r="AA519" s="61"/>
      <c r="AT519" s="7" t="s">
        <v>768</v>
      </c>
      <c r="AU519" s="7" t="s">
        <v>16</v>
      </c>
      <c r="AY519" s="7" t="s">
        <v>768</v>
      </c>
      <c r="BE519" s="89">
        <f>IF($U$519="základní",$N$519,0)</f>
        <v>0</v>
      </c>
      <c r="BF519" s="89">
        <f>IF($U$519="snížená",$N$519,0)</f>
        <v>0</v>
      </c>
      <c r="BG519" s="89">
        <f>IF($U$519="zákl. přenesená",$N$519,0)</f>
        <v>0</v>
      </c>
      <c r="BH519" s="89">
        <f>IF($U$519="sníž. přenesená",$N$519,0)</f>
        <v>0</v>
      </c>
      <c r="BI519" s="89">
        <f>IF($U$519="nulová",$N$519,0)</f>
        <v>0</v>
      </c>
      <c r="BJ519" s="7" t="s">
        <v>16</v>
      </c>
      <c r="BK519" s="89">
        <f>$L$519*$K$519</f>
        <v>0</v>
      </c>
    </row>
    <row r="520" spans="2:63" s="7" customFormat="1" ht="23.25" customHeight="1">
      <c r="B520" s="23"/>
      <c r="C520" s="160"/>
      <c r="D520" s="160" t="s">
        <v>163</v>
      </c>
      <c r="E520" s="161"/>
      <c r="F520" s="210"/>
      <c r="G520" s="211"/>
      <c r="H520" s="211"/>
      <c r="I520" s="211"/>
      <c r="J520" s="162"/>
      <c r="K520" s="163"/>
      <c r="L520" s="212"/>
      <c r="M520" s="213"/>
      <c r="N520" s="214">
        <f>$BK$520</f>
        <v>0</v>
      </c>
      <c r="O520" s="213"/>
      <c r="P520" s="213"/>
      <c r="Q520" s="213"/>
      <c r="R520" s="25"/>
      <c r="T520" s="139"/>
      <c r="U520" s="164" t="s">
        <v>41</v>
      </c>
      <c r="V520" s="24"/>
      <c r="W520" s="24"/>
      <c r="X520" s="24"/>
      <c r="Y520" s="24"/>
      <c r="Z520" s="24"/>
      <c r="AA520" s="61"/>
      <c r="AT520" s="7" t="s">
        <v>768</v>
      </c>
      <c r="AU520" s="7" t="s">
        <v>16</v>
      </c>
      <c r="AY520" s="7" t="s">
        <v>768</v>
      </c>
      <c r="BE520" s="89">
        <f>IF($U$520="základní",$N$520,0)</f>
        <v>0</v>
      </c>
      <c r="BF520" s="89">
        <f>IF($U$520="snížená",$N$520,0)</f>
        <v>0</v>
      </c>
      <c r="BG520" s="89">
        <f>IF($U$520="zákl. přenesená",$N$520,0)</f>
        <v>0</v>
      </c>
      <c r="BH520" s="89">
        <f>IF($U$520="sníž. přenesená",$N$520,0)</f>
        <v>0</v>
      </c>
      <c r="BI520" s="89">
        <f>IF($U$520="nulová",$N$520,0)</f>
        <v>0</v>
      </c>
      <c r="BJ520" s="7" t="s">
        <v>16</v>
      </c>
      <c r="BK520" s="89">
        <f>$L$520*$K$520</f>
        <v>0</v>
      </c>
    </row>
    <row r="521" spans="2:63" s="7" customFormat="1" ht="23.25" customHeight="1">
      <c r="B521" s="23"/>
      <c r="C521" s="160"/>
      <c r="D521" s="160" t="s">
        <v>163</v>
      </c>
      <c r="E521" s="161"/>
      <c r="F521" s="210"/>
      <c r="G521" s="211"/>
      <c r="H521" s="211"/>
      <c r="I521" s="211"/>
      <c r="J521" s="162"/>
      <c r="K521" s="163"/>
      <c r="L521" s="212"/>
      <c r="M521" s="213"/>
      <c r="N521" s="214">
        <f>$BK$521</f>
        <v>0</v>
      </c>
      <c r="O521" s="213"/>
      <c r="P521" s="213"/>
      <c r="Q521" s="213"/>
      <c r="R521" s="25"/>
      <c r="T521" s="139"/>
      <c r="U521" s="164" t="s">
        <v>41</v>
      </c>
      <c r="V521" s="24"/>
      <c r="W521" s="24"/>
      <c r="X521" s="24"/>
      <c r="Y521" s="24"/>
      <c r="Z521" s="24"/>
      <c r="AA521" s="61"/>
      <c r="AT521" s="7" t="s">
        <v>768</v>
      </c>
      <c r="AU521" s="7" t="s">
        <v>16</v>
      </c>
      <c r="AY521" s="7" t="s">
        <v>768</v>
      </c>
      <c r="BE521" s="89">
        <f>IF($U$521="základní",$N$521,0)</f>
        <v>0</v>
      </c>
      <c r="BF521" s="89">
        <f>IF($U$521="snížená",$N$521,0)</f>
        <v>0</v>
      </c>
      <c r="BG521" s="89">
        <f>IF($U$521="zákl. přenesená",$N$521,0)</f>
        <v>0</v>
      </c>
      <c r="BH521" s="89">
        <f>IF($U$521="sníž. přenesená",$N$521,0)</f>
        <v>0</v>
      </c>
      <c r="BI521" s="89">
        <f>IF($U$521="nulová",$N$521,0)</f>
        <v>0</v>
      </c>
      <c r="BJ521" s="7" t="s">
        <v>16</v>
      </c>
      <c r="BK521" s="89">
        <f>$L$521*$K$521</f>
        <v>0</v>
      </c>
    </row>
    <row r="522" spans="2:63" s="7" customFormat="1" ht="23.25" customHeight="1">
      <c r="B522" s="23"/>
      <c r="C522" s="160"/>
      <c r="D522" s="160" t="s">
        <v>163</v>
      </c>
      <c r="E522" s="161"/>
      <c r="F522" s="210"/>
      <c r="G522" s="211"/>
      <c r="H522" s="211"/>
      <c r="I522" s="211"/>
      <c r="J522" s="162"/>
      <c r="K522" s="163"/>
      <c r="L522" s="212"/>
      <c r="M522" s="213"/>
      <c r="N522" s="214">
        <f>$BK$522</f>
        <v>0</v>
      </c>
      <c r="O522" s="213"/>
      <c r="P522" s="213"/>
      <c r="Q522" s="213"/>
      <c r="R522" s="25"/>
      <c r="T522" s="139"/>
      <c r="U522" s="164" t="s">
        <v>41</v>
      </c>
      <c r="V522" s="24"/>
      <c r="W522" s="24"/>
      <c r="X522" s="24"/>
      <c r="Y522" s="24"/>
      <c r="Z522" s="24"/>
      <c r="AA522" s="61"/>
      <c r="AT522" s="7" t="s">
        <v>768</v>
      </c>
      <c r="AU522" s="7" t="s">
        <v>16</v>
      </c>
      <c r="AY522" s="7" t="s">
        <v>768</v>
      </c>
      <c r="BE522" s="89">
        <f>IF($U$522="základní",$N$522,0)</f>
        <v>0</v>
      </c>
      <c r="BF522" s="89">
        <f>IF($U$522="snížená",$N$522,0)</f>
        <v>0</v>
      </c>
      <c r="BG522" s="89">
        <f>IF($U$522="zákl. přenesená",$N$522,0)</f>
        <v>0</v>
      </c>
      <c r="BH522" s="89">
        <f>IF($U$522="sníž. přenesená",$N$522,0)</f>
        <v>0</v>
      </c>
      <c r="BI522" s="89">
        <f>IF($U$522="nulová",$N$522,0)</f>
        <v>0</v>
      </c>
      <c r="BJ522" s="7" t="s">
        <v>16</v>
      </c>
      <c r="BK522" s="89">
        <f>$L$522*$K$522</f>
        <v>0</v>
      </c>
    </row>
    <row r="523" spans="2:63" s="7" customFormat="1" ht="23.25" customHeight="1">
      <c r="B523" s="23"/>
      <c r="C523" s="160"/>
      <c r="D523" s="160" t="s">
        <v>163</v>
      </c>
      <c r="E523" s="161"/>
      <c r="F523" s="210"/>
      <c r="G523" s="211"/>
      <c r="H523" s="211"/>
      <c r="I523" s="211"/>
      <c r="J523" s="162"/>
      <c r="K523" s="163"/>
      <c r="L523" s="212"/>
      <c r="M523" s="213"/>
      <c r="N523" s="214">
        <f>$BK$523</f>
        <v>0</v>
      </c>
      <c r="O523" s="213"/>
      <c r="P523" s="213"/>
      <c r="Q523" s="213"/>
      <c r="R523" s="25"/>
      <c r="T523" s="139"/>
      <c r="U523" s="164" t="s">
        <v>41</v>
      </c>
      <c r="V523" s="43"/>
      <c r="W523" s="43"/>
      <c r="X523" s="43"/>
      <c r="Y523" s="43"/>
      <c r="Z523" s="43"/>
      <c r="AA523" s="45"/>
      <c r="AT523" s="7" t="s">
        <v>768</v>
      </c>
      <c r="AU523" s="7" t="s">
        <v>16</v>
      </c>
      <c r="AY523" s="7" t="s">
        <v>768</v>
      </c>
      <c r="BE523" s="89">
        <f>IF($U$523="základní",$N$523,0)</f>
        <v>0</v>
      </c>
      <c r="BF523" s="89">
        <f>IF($U$523="snížená",$N$523,0)</f>
        <v>0</v>
      </c>
      <c r="BG523" s="89">
        <f>IF($U$523="zákl. přenesená",$N$523,0)</f>
        <v>0</v>
      </c>
      <c r="BH523" s="89">
        <f>IF($U$523="sníž. přenesená",$N$523,0)</f>
        <v>0</v>
      </c>
      <c r="BI523" s="89">
        <f>IF($U$523="nulová",$N$523,0)</f>
        <v>0</v>
      </c>
      <c r="BJ523" s="7" t="s">
        <v>16</v>
      </c>
      <c r="BK523" s="89">
        <f>$L$523*$K$523</f>
        <v>0</v>
      </c>
    </row>
    <row r="524" spans="2:46" s="7" customFormat="1" ht="7.5" customHeight="1">
      <c r="B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8"/>
      <c r="AT524" s="2"/>
    </row>
  </sheetData>
  <sheetProtection/>
  <mergeCells count="78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L203:M203"/>
    <mergeCell ref="N203:Q203"/>
    <mergeCell ref="F204:I204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2:I232"/>
    <mergeCell ref="L232:M232"/>
    <mergeCell ref="N232:Q232"/>
    <mergeCell ref="N231:Q231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L346:M346"/>
    <mergeCell ref="N346:Q346"/>
    <mergeCell ref="F347:I347"/>
    <mergeCell ref="F348:I348"/>
    <mergeCell ref="L348:M348"/>
    <mergeCell ref="N348:Q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F374:I374"/>
    <mergeCell ref="F376:I376"/>
    <mergeCell ref="L376:M376"/>
    <mergeCell ref="N376:Q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4:I384"/>
    <mergeCell ref="L384:M384"/>
    <mergeCell ref="N384:Q384"/>
    <mergeCell ref="F385:I385"/>
    <mergeCell ref="F386:I386"/>
    <mergeCell ref="F387:I38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L408:M408"/>
    <mergeCell ref="N408:Q408"/>
    <mergeCell ref="F410:I410"/>
    <mergeCell ref="L410:M410"/>
    <mergeCell ref="N410:Q410"/>
    <mergeCell ref="F411:I411"/>
    <mergeCell ref="F413:I413"/>
    <mergeCell ref="L413:M413"/>
    <mergeCell ref="N413:Q413"/>
    <mergeCell ref="N412:Q412"/>
    <mergeCell ref="F414:I414"/>
    <mergeCell ref="F415:I415"/>
    <mergeCell ref="L415:M415"/>
    <mergeCell ref="N415:Q415"/>
    <mergeCell ref="F417:I417"/>
    <mergeCell ref="L417:M417"/>
    <mergeCell ref="N417:Q417"/>
    <mergeCell ref="N416:Q416"/>
    <mergeCell ref="F418:I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L425:M425"/>
    <mergeCell ref="N425:Q425"/>
    <mergeCell ref="F426:I426"/>
    <mergeCell ref="F427:I427"/>
    <mergeCell ref="L427:M427"/>
    <mergeCell ref="N427:Q427"/>
    <mergeCell ref="F428:I428"/>
    <mergeCell ref="F429:I429"/>
    <mergeCell ref="F430:I430"/>
    <mergeCell ref="L430:M430"/>
    <mergeCell ref="N430:Q430"/>
    <mergeCell ref="F431:I431"/>
    <mergeCell ref="F432:I432"/>
    <mergeCell ref="L432:M432"/>
    <mergeCell ref="N432:Q432"/>
    <mergeCell ref="F433:I433"/>
    <mergeCell ref="F434:I434"/>
    <mergeCell ref="L434:M434"/>
    <mergeCell ref="N434:Q434"/>
    <mergeCell ref="F435:I435"/>
    <mergeCell ref="F436:I436"/>
    <mergeCell ref="L436:M436"/>
    <mergeCell ref="N436:Q436"/>
    <mergeCell ref="F437:I437"/>
    <mergeCell ref="F438:I438"/>
    <mergeCell ref="F439:I439"/>
    <mergeCell ref="L439:M439"/>
    <mergeCell ref="N439:Q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F450:I450"/>
    <mergeCell ref="L450:M450"/>
    <mergeCell ref="N450:Q450"/>
    <mergeCell ref="F451:I451"/>
    <mergeCell ref="F452:I452"/>
    <mergeCell ref="F453:I453"/>
    <mergeCell ref="L453:M453"/>
    <mergeCell ref="N453:Q453"/>
    <mergeCell ref="F454:I454"/>
    <mergeCell ref="F455:I455"/>
    <mergeCell ref="L455:M455"/>
    <mergeCell ref="N455:Q455"/>
    <mergeCell ref="F456:I456"/>
    <mergeCell ref="F457:I457"/>
    <mergeCell ref="L457:M457"/>
    <mergeCell ref="N457:Q457"/>
    <mergeCell ref="F458:I458"/>
    <mergeCell ref="L458:M458"/>
    <mergeCell ref="N458:Q458"/>
    <mergeCell ref="F459:I459"/>
    <mergeCell ref="F460:I460"/>
    <mergeCell ref="L460:M460"/>
    <mergeCell ref="N460:Q460"/>
    <mergeCell ref="F462:I462"/>
    <mergeCell ref="L462:M462"/>
    <mergeCell ref="N462:Q462"/>
    <mergeCell ref="N461:Q461"/>
    <mergeCell ref="F463:I463"/>
    <mergeCell ref="F464:I464"/>
    <mergeCell ref="F465:I465"/>
    <mergeCell ref="L465:M465"/>
    <mergeCell ref="N465:Q465"/>
    <mergeCell ref="F467:I467"/>
    <mergeCell ref="L467:M467"/>
    <mergeCell ref="N467:Q467"/>
    <mergeCell ref="N466:Q466"/>
    <mergeCell ref="F468:I468"/>
    <mergeCell ref="L468:M468"/>
    <mergeCell ref="N468:Q468"/>
    <mergeCell ref="F469:I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L476:M476"/>
    <mergeCell ref="N476:Q476"/>
    <mergeCell ref="F478:I478"/>
    <mergeCell ref="L478:M478"/>
    <mergeCell ref="N478:Q478"/>
    <mergeCell ref="F479:I479"/>
    <mergeCell ref="L479:M479"/>
    <mergeCell ref="N479:Q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F505:I505"/>
    <mergeCell ref="F506:I506"/>
    <mergeCell ref="L506:M506"/>
    <mergeCell ref="N506:Q506"/>
    <mergeCell ref="F507:I507"/>
    <mergeCell ref="F508:I508"/>
    <mergeCell ref="F509:I509"/>
    <mergeCell ref="L509:M509"/>
    <mergeCell ref="N509:Q509"/>
    <mergeCell ref="F510:I510"/>
    <mergeCell ref="N519:Q519"/>
    <mergeCell ref="F511:I511"/>
    <mergeCell ref="L511:M511"/>
    <mergeCell ref="N511:Q511"/>
    <mergeCell ref="F513:I513"/>
    <mergeCell ref="L513:M513"/>
    <mergeCell ref="N513:Q513"/>
    <mergeCell ref="N520:Q520"/>
    <mergeCell ref="F521:I521"/>
    <mergeCell ref="L521:M521"/>
    <mergeCell ref="N521:Q521"/>
    <mergeCell ref="F514:I514"/>
    <mergeCell ref="F517:I517"/>
    <mergeCell ref="L517:M517"/>
    <mergeCell ref="N517:Q517"/>
    <mergeCell ref="F519:I519"/>
    <mergeCell ref="L519:M519"/>
    <mergeCell ref="N173:Q173"/>
    <mergeCell ref="N205:Q205"/>
    <mergeCell ref="F522:I522"/>
    <mergeCell ref="L522:M522"/>
    <mergeCell ref="N522:Q522"/>
    <mergeCell ref="F523:I523"/>
    <mergeCell ref="L523:M523"/>
    <mergeCell ref="N523:Q523"/>
    <mergeCell ref="F520:I520"/>
    <mergeCell ref="L520:M520"/>
    <mergeCell ref="N516:Q516"/>
    <mergeCell ref="N518:Q518"/>
    <mergeCell ref="N318:Q318"/>
    <mergeCell ref="N375:Q375"/>
    <mergeCell ref="N382:Q382"/>
    <mergeCell ref="N383:Q383"/>
    <mergeCell ref="N396:Q396"/>
    <mergeCell ref="N409:Q409"/>
    <mergeCell ref="H1:K1"/>
    <mergeCell ref="S2:AC2"/>
    <mergeCell ref="N477:Q477"/>
    <mergeCell ref="N485:Q485"/>
    <mergeCell ref="N512:Q512"/>
    <mergeCell ref="N515:Q515"/>
    <mergeCell ref="N137:Q137"/>
    <mergeCell ref="N138:Q138"/>
    <mergeCell ref="N139:Q139"/>
    <mergeCell ref="N158:Q158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F8" sqref="F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204"/>
      <c r="I1" s="205"/>
      <c r="J1" s="205"/>
      <c r="K1" s="205"/>
      <c r="L1" s="5"/>
      <c r="M1" s="5"/>
      <c r="N1" s="5"/>
      <c r="O1" s="6" t="s">
        <v>105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6" t="s">
        <v>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167" t="s">
        <v>5</v>
      </c>
      <c r="T2" s="168"/>
      <c r="U2" s="168"/>
      <c r="V2" s="168"/>
      <c r="W2" s="168"/>
      <c r="X2" s="168"/>
      <c r="Y2" s="168"/>
      <c r="Z2" s="168"/>
      <c r="AA2" s="168"/>
      <c r="AB2" s="168"/>
      <c r="AC2" s="168"/>
      <c r="AT2" s="2" t="s">
        <v>86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106</v>
      </c>
    </row>
    <row r="4" spans="2:46" s="2" customFormat="1" ht="37.5" customHeight="1">
      <c r="B4" s="11"/>
      <c r="C4" s="243" t="s">
        <v>107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3"/>
      <c r="T4" s="14" t="s">
        <v>10</v>
      </c>
      <c r="AT4" s="2" t="s">
        <v>3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7" t="s">
        <v>14</v>
      </c>
      <c r="E6" s="12"/>
      <c r="F6" s="229" t="str">
        <f>'Rekapitulace stavby'!$K$6</f>
        <v>2013-24 - Stavební úpravy stodoly - p.č. 11/5 na sklad protipovodňových prostředků - nabídkový rozpočet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2"/>
      <c r="R6" s="13"/>
    </row>
    <row r="7" spans="2:18" s="7" customFormat="1" ht="18.75" customHeight="1">
      <c r="B7" s="23"/>
      <c r="C7" s="24"/>
      <c r="D7" s="16" t="s">
        <v>108</v>
      </c>
      <c r="E7" s="24"/>
      <c r="F7" s="242" t="s">
        <v>793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4"/>
      <c r="R7" s="25"/>
    </row>
    <row r="8" spans="2:18" s="7" customFormat="1" ht="7.5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s="7" customFormat="1" ht="15" customHeight="1">
      <c r="B9" s="23"/>
      <c r="C9" s="24"/>
      <c r="D9" s="17" t="s">
        <v>17</v>
      </c>
      <c r="E9" s="24"/>
      <c r="F9" s="18" t="s">
        <v>18</v>
      </c>
      <c r="G9" s="24"/>
      <c r="H9" s="24"/>
      <c r="I9" s="24"/>
      <c r="J9" s="24"/>
      <c r="K9" s="24"/>
      <c r="L9" s="24"/>
      <c r="M9" s="17" t="s">
        <v>19</v>
      </c>
      <c r="N9" s="24"/>
      <c r="O9" s="237" t="str">
        <f>'Rekapitulace stavby'!$AN$8</f>
        <v>18.09.2013</v>
      </c>
      <c r="P9" s="170"/>
      <c r="Q9" s="24"/>
      <c r="R9" s="25"/>
    </row>
    <row r="10" spans="2:18" s="7" customFormat="1" ht="7.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7" customFormat="1" ht="15" customHeight="1">
      <c r="B11" s="23"/>
      <c r="C11" s="24"/>
      <c r="D11" s="17" t="s">
        <v>23</v>
      </c>
      <c r="E11" s="24"/>
      <c r="F11" s="24"/>
      <c r="G11" s="24"/>
      <c r="H11" s="24"/>
      <c r="I11" s="24"/>
      <c r="J11" s="24"/>
      <c r="K11" s="24"/>
      <c r="L11" s="24"/>
      <c r="M11" s="17" t="s">
        <v>24</v>
      </c>
      <c r="N11" s="24"/>
      <c r="O11" s="187" t="s">
        <v>25</v>
      </c>
      <c r="P11" s="170"/>
      <c r="Q11" s="24"/>
      <c r="R11" s="25"/>
    </row>
    <row r="12" spans="2:18" s="7" customFormat="1" ht="18.75" customHeight="1">
      <c r="B12" s="23"/>
      <c r="C12" s="24"/>
      <c r="D12" s="24"/>
      <c r="E12" s="18" t="s">
        <v>26</v>
      </c>
      <c r="F12" s="24"/>
      <c r="G12" s="24"/>
      <c r="H12" s="24"/>
      <c r="I12" s="24"/>
      <c r="J12" s="24"/>
      <c r="K12" s="24"/>
      <c r="L12" s="24"/>
      <c r="M12" s="17" t="s">
        <v>27</v>
      </c>
      <c r="N12" s="24"/>
      <c r="O12" s="187"/>
      <c r="P12" s="170"/>
      <c r="Q12" s="24"/>
      <c r="R12" s="25"/>
    </row>
    <row r="13" spans="2:18" s="7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7" customFormat="1" ht="15" customHeight="1">
      <c r="B14" s="23"/>
      <c r="C14" s="24"/>
      <c r="D14" s="17" t="s">
        <v>28</v>
      </c>
      <c r="E14" s="24"/>
      <c r="F14" s="24"/>
      <c r="G14" s="24"/>
      <c r="H14" s="24"/>
      <c r="I14" s="24"/>
      <c r="J14" s="24"/>
      <c r="K14" s="24"/>
      <c r="L14" s="24"/>
      <c r="M14" s="17" t="s">
        <v>24</v>
      </c>
      <c r="N14" s="24"/>
      <c r="O14" s="236" t="str">
        <f>IF('Rekapitulace stavby'!$AN$13="","",'Rekapitulace stavby'!$AN$13)</f>
        <v>Vyplň údaj</v>
      </c>
      <c r="P14" s="170"/>
      <c r="Q14" s="24"/>
      <c r="R14" s="25"/>
    </row>
    <row r="15" spans="2:18" s="7" customFormat="1" ht="18.75" customHeight="1">
      <c r="B15" s="23"/>
      <c r="C15" s="24"/>
      <c r="D15" s="24"/>
      <c r="E15" s="236" t="str">
        <f>IF('Rekapitulace stavby'!$E$14="","",'Rekapitulace stavby'!$E$14)</f>
        <v>Vyplň údaj</v>
      </c>
      <c r="F15" s="170"/>
      <c r="G15" s="170"/>
      <c r="H15" s="170"/>
      <c r="I15" s="170"/>
      <c r="J15" s="170"/>
      <c r="K15" s="170"/>
      <c r="L15" s="170"/>
      <c r="M15" s="17" t="s">
        <v>27</v>
      </c>
      <c r="N15" s="24"/>
      <c r="O15" s="236" t="str">
        <f>IF('Rekapitulace stavby'!$AN$14="","",'Rekapitulace stavby'!$AN$14)</f>
        <v>Vyplň údaj</v>
      </c>
      <c r="P15" s="170"/>
      <c r="Q15" s="24"/>
      <c r="R15" s="25"/>
    </row>
    <row r="16" spans="2:18" s="7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7" customFormat="1" ht="15" customHeight="1">
      <c r="B17" s="23"/>
      <c r="C17" s="24"/>
      <c r="D17" s="17" t="s">
        <v>30</v>
      </c>
      <c r="E17" s="24"/>
      <c r="F17" s="24"/>
      <c r="G17" s="24"/>
      <c r="H17" s="24"/>
      <c r="I17" s="24"/>
      <c r="J17" s="24"/>
      <c r="K17" s="24"/>
      <c r="L17" s="24"/>
      <c r="M17" s="17" t="s">
        <v>24</v>
      </c>
      <c r="N17" s="24"/>
      <c r="O17" s="187" t="s">
        <v>31</v>
      </c>
      <c r="P17" s="170"/>
      <c r="Q17" s="24"/>
      <c r="R17" s="25"/>
    </row>
    <row r="18" spans="2:18" s="7" customFormat="1" ht="18.75" customHeight="1">
      <c r="B18" s="23"/>
      <c r="C18" s="24"/>
      <c r="D18" s="24"/>
      <c r="E18" s="18" t="s">
        <v>32</v>
      </c>
      <c r="F18" s="24"/>
      <c r="G18" s="24"/>
      <c r="H18" s="24"/>
      <c r="I18" s="24"/>
      <c r="J18" s="24"/>
      <c r="K18" s="24"/>
      <c r="L18" s="24"/>
      <c r="M18" s="17" t="s">
        <v>27</v>
      </c>
      <c r="N18" s="24"/>
      <c r="O18" s="187"/>
      <c r="P18" s="170"/>
      <c r="Q18" s="24"/>
      <c r="R18" s="25"/>
    </row>
    <row r="19" spans="2:18" s="7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7" customFormat="1" ht="15" customHeight="1">
      <c r="B20" s="23"/>
      <c r="C20" s="24"/>
      <c r="D20" s="17" t="s">
        <v>34</v>
      </c>
      <c r="E20" s="24"/>
      <c r="F20" s="24"/>
      <c r="G20" s="24"/>
      <c r="H20" s="24"/>
      <c r="I20" s="24"/>
      <c r="J20" s="24"/>
      <c r="K20" s="24"/>
      <c r="L20" s="24"/>
      <c r="M20" s="17" t="s">
        <v>24</v>
      </c>
      <c r="N20" s="24"/>
      <c r="O20" s="187" t="s">
        <v>35</v>
      </c>
      <c r="P20" s="170"/>
      <c r="Q20" s="24"/>
      <c r="R20" s="25"/>
    </row>
    <row r="21" spans="2:18" s="7" customFormat="1" ht="18.75" customHeight="1">
      <c r="B21" s="23"/>
      <c r="C21" s="24"/>
      <c r="D21" s="24"/>
      <c r="E21" s="18" t="s">
        <v>36</v>
      </c>
      <c r="F21" s="24"/>
      <c r="G21" s="24"/>
      <c r="H21" s="24"/>
      <c r="I21" s="24"/>
      <c r="J21" s="24"/>
      <c r="K21" s="24"/>
      <c r="L21" s="24"/>
      <c r="M21" s="17" t="s">
        <v>27</v>
      </c>
      <c r="N21" s="24"/>
      <c r="O21" s="187"/>
      <c r="P21" s="170"/>
      <c r="Q21" s="24"/>
      <c r="R21" s="25"/>
    </row>
    <row r="22" spans="2:18" s="7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7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7" customFormat="1" ht="15" customHeight="1">
      <c r="B24" s="23"/>
      <c r="C24" s="24"/>
      <c r="D24" s="97" t="s">
        <v>109</v>
      </c>
      <c r="E24" s="24"/>
      <c r="F24" s="24"/>
      <c r="G24" s="24"/>
      <c r="H24" s="24"/>
      <c r="I24" s="24"/>
      <c r="J24" s="24"/>
      <c r="K24" s="24"/>
      <c r="L24" s="24"/>
      <c r="M24" s="201">
        <f>$N$88</f>
        <v>0</v>
      </c>
      <c r="N24" s="170"/>
      <c r="O24" s="170"/>
      <c r="P24" s="170"/>
      <c r="Q24" s="24"/>
      <c r="R24" s="25"/>
    </row>
    <row r="25" spans="2:18" s="7" customFormat="1" ht="15" customHeight="1">
      <c r="B25" s="23"/>
      <c r="C25" s="24"/>
      <c r="D25" s="22" t="s">
        <v>97</v>
      </c>
      <c r="E25" s="24"/>
      <c r="F25" s="24"/>
      <c r="G25" s="24"/>
      <c r="H25" s="24"/>
      <c r="I25" s="24"/>
      <c r="J25" s="24"/>
      <c r="K25" s="24"/>
      <c r="L25" s="24"/>
      <c r="M25" s="201">
        <f>$N$96</f>
        <v>0</v>
      </c>
      <c r="N25" s="170"/>
      <c r="O25" s="170"/>
      <c r="P25" s="170"/>
      <c r="Q25" s="24"/>
      <c r="R25" s="25"/>
    </row>
    <row r="26" spans="2:18" s="7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7" customFormat="1" ht="26.25" customHeight="1">
      <c r="B27" s="23"/>
      <c r="C27" s="24"/>
      <c r="D27" s="98" t="s">
        <v>39</v>
      </c>
      <c r="E27" s="24"/>
      <c r="F27" s="24"/>
      <c r="G27" s="24"/>
      <c r="H27" s="24"/>
      <c r="I27" s="24"/>
      <c r="J27" s="24"/>
      <c r="K27" s="24"/>
      <c r="L27" s="24"/>
      <c r="M27" s="235">
        <f>ROUNDUP($M$24+$M$25,2)</f>
        <v>0</v>
      </c>
      <c r="N27" s="170"/>
      <c r="O27" s="170"/>
      <c r="P27" s="170"/>
      <c r="Q27" s="24"/>
      <c r="R27" s="25"/>
    </row>
    <row r="28" spans="2:18" s="7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7" customFormat="1" ht="15" customHeight="1">
      <c r="B29" s="23"/>
      <c r="C29" s="24"/>
      <c r="D29" s="29" t="s">
        <v>40</v>
      </c>
      <c r="E29" s="29" t="s">
        <v>41</v>
      </c>
      <c r="F29" s="30">
        <v>0.21</v>
      </c>
      <c r="G29" s="99" t="s">
        <v>42</v>
      </c>
      <c r="H29" s="234">
        <f>ROUNDUP((((SUM($BE$96:$BE$103)+SUM($BE$121:$BE$137))+SUM($BE$139:$BE$143))),2)</f>
        <v>0</v>
      </c>
      <c r="I29" s="170"/>
      <c r="J29" s="170"/>
      <c r="K29" s="24"/>
      <c r="L29" s="24"/>
      <c r="M29" s="234">
        <f>ROUNDUP((((SUM($BE$96:$BE$103)+SUM($BE$121:$BE$137))*$F$29)+SUM($BE$139:$BE$143)*$F$29),1)</f>
        <v>0</v>
      </c>
      <c r="N29" s="170"/>
      <c r="O29" s="170"/>
      <c r="P29" s="170"/>
      <c r="Q29" s="24"/>
      <c r="R29" s="25"/>
    </row>
    <row r="30" spans="2:18" s="7" customFormat="1" ht="15" customHeight="1">
      <c r="B30" s="23"/>
      <c r="C30" s="24"/>
      <c r="D30" s="24"/>
      <c r="E30" s="29" t="s">
        <v>43</v>
      </c>
      <c r="F30" s="30">
        <v>0.15</v>
      </c>
      <c r="G30" s="99" t="s">
        <v>42</v>
      </c>
      <c r="H30" s="234">
        <f>ROUNDUP((((SUM($BF$96:$BF$103)+SUM($BF$121:$BF$137))+SUM($BF$139:$BF$143))),2)</f>
        <v>0</v>
      </c>
      <c r="I30" s="170"/>
      <c r="J30" s="170"/>
      <c r="K30" s="24"/>
      <c r="L30" s="24"/>
      <c r="M30" s="234">
        <f>ROUNDUP((((SUM($BF$96:$BF$103)+SUM($BF$121:$BF$137))*$F$30)+SUM($BF$139:$BF$143)*$F$30),1)</f>
        <v>0</v>
      </c>
      <c r="N30" s="170"/>
      <c r="O30" s="170"/>
      <c r="P30" s="170"/>
      <c r="Q30" s="24"/>
      <c r="R30" s="25"/>
    </row>
    <row r="31" spans="2:18" s="7" customFormat="1" ht="15" customHeight="1" hidden="1">
      <c r="B31" s="23"/>
      <c r="C31" s="24"/>
      <c r="D31" s="24"/>
      <c r="E31" s="29" t="s">
        <v>44</v>
      </c>
      <c r="F31" s="30">
        <v>0.21</v>
      </c>
      <c r="G31" s="99" t="s">
        <v>42</v>
      </c>
      <c r="H31" s="234">
        <f>ROUNDUP((((SUM($BG$96:$BG$103)+SUM($BG$121:$BG$137))+SUM($BG$139:$BG$143))),2)</f>
        <v>0</v>
      </c>
      <c r="I31" s="170"/>
      <c r="J31" s="170"/>
      <c r="K31" s="24"/>
      <c r="L31" s="24"/>
      <c r="M31" s="234">
        <v>0</v>
      </c>
      <c r="N31" s="170"/>
      <c r="O31" s="170"/>
      <c r="P31" s="170"/>
      <c r="Q31" s="24"/>
      <c r="R31" s="25"/>
    </row>
    <row r="32" spans="2:18" s="7" customFormat="1" ht="15" customHeight="1" hidden="1">
      <c r="B32" s="23"/>
      <c r="C32" s="24"/>
      <c r="D32" s="24"/>
      <c r="E32" s="29" t="s">
        <v>45</v>
      </c>
      <c r="F32" s="30">
        <v>0.15</v>
      </c>
      <c r="G32" s="99" t="s">
        <v>42</v>
      </c>
      <c r="H32" s="234">
        <f>ROUNDUP((((SUM($BH$96:$BH$103)+SUM($BH$121:$BH$137))+SUM($BH$139:$BH$143))),2)</f>
        <v>0</v>
      </c>
      <c r="I32" s="170"/>
      <c r="J32" s="170"/>
      <c r="K32" s="24"/>
      <c r="L32" s="24"/>
      <c r="M32" s="234">
        <v>0</v>
      </c>
      <c r="N32" s="170"/>
      <c r="O32" s="170"/>
      <c r="P32" s="170"/>
      <c r="Q32" s="24"/>
      <c r="R32" s="25"/>
    </row>
    <row r="33" spans="2:18" s="7" customFormat="1" ht="15" customHeight="1" hidden="1">
      <c r="B33" s="23"/>
      <c r="C33" s="24"/>
      <c r="D33" s="24"/>
      <c r="E33" s="29" t="s">
        <v>46</v>
      </c>
      <c r="F33" s="30">
        <v>0</v>
      </c>
      <c r="G33" s="99" t="s">
        <v>42</v>
      </c>
      <c r="H33" s="234">
        <f>ROUNDUP((((SUM($BI$96:$BI$103)+SUM($BI$121:$BI$137))+SUM($BI$139:$BI$143))),2)</f>
        <v>0</v>
      </c>
      <c r="I33" s="170"/>
      <c r="J33" s="170"/>
      <c r="K33" s="24"/>
      <c r="L33" s="24"/>
      <c r="M33" s="234">
        <v>0</v>
      </c>
      <c r="N33" s="170"/>
      <c r="O33" s="170"/>
      <c r="P33" s="170"/>
      <c r="Q33" s="24"/>
      <c r="R33" s="25"/>
    </row>
    <row r="34" spans="2:18" s="7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7" customFormat="1" ht="26.25" customHeight="1">
      <c r="B35" s="23"/>
      <c r="C35" s="33"/>
      <c r="D35" s="34" t="s">
        <v>47</v>
      </c>
      <c r="E35" s="35"/>
      <c r="F35" s="35"/>
      <c r="G35" s="100" t="s">
        <v>48</v>
      </c>
      <c r="H35" s="36" t="s">
        <v>49</v>
      </c>
      <c r="I35" s="35"/>
      <c r="J35" s="35"/>
      <c r="K35" s="35"/>
      <c r="L35" s="184">
        <f>ROUNDUP(SUM($M$27:$M$33),2)</f>
        <v>0</v>
      </c>
      <c r="M35" s="180"/>
      <c r="N35" s="180"/>
      <c r="O35" s="180"/>
      <c r="P35" s="182"/>
      <c r="Q35" s="33"/>
      <c r="R35" s="25"/>
    </row>
    <row r="36" spans="2:18" s="7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7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23"/>
      <c r="C50" s="24"/>
      <c r="D50" s="37" t="s">
        <v>50</v>
      </c>
      <c r="E50" s="38"/>
      <c r="F50" s="38"/>
      <c r="G50" s="38"/>
      <c r="H50" s="39"/>
      <c r="I50" s="24"/>
      <c r="J50" s="37" t="s">
        <v>51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1"/>
      <c r="C51" s="12"/>
      <c r="D51" s="40"/>
      <c r="E51" s="12"/>
      <c r="F51" s="12"/>
      <c r="G51" s="12"/>
      <c r="H51" s="41"/>
      <c r="I51" s="12"/>
      <c r="J51" s="40"/>
      <c r="K51" s="12"/>
      <c r="L51" s="12"/>
      <c r="M51" s="12"/>
      <c r="N51" s="12"/>
      <c r="O51" s="12"/>
      <c r="P51" s="41"/>
      <c r="Q51" s="12"/>
      <c r="R51" s="13"/>
    </row>
    <row r="52" spans="2:18" s="2" customFormat="1" ht="14.25" customHeight="1">
      <c r="B52" s="11"/>
      <c r="C52" s="12"/>
      <c r="D52" s="40"/>
      <c r="E52" s="12"/>
      <c r="F52" s="12"/>
      <c r="G52" s="12"/>
      <c r="H52" s="41"/>
      <c r="I52" s="12"/>
      <c r="J52" s="40"/>
      <c r="K52" s="12"/>
      <c r="L52" s="12"/>
      <c r="M52" s="12"/>
      <c r="N52" s="12"/>
      <c r="O52" s="12"/>
      <c r="P52" s="41"/>
      <c r="Q52" s="12"/>
      <c r="R52" s="13"/>
    </row>
    <row r="53" spans="2:18" s="2" customFormat="1" ht="14.25" customHeight="1">
      <c r="B53" s="11"/>
      <c r="C53" s="12"/>
      <c r="D53" s="40"/>
      <c r="E53" s="12"/>
      <c r="F53" s="12"/>
      <c r="G53" s="12"/>
      <c r="H53" s="41"/>
      <c r="I53" s="12"/>
      <c r="J53" s="40"/>
      <c r="K53" s="12"/>
      <c r="L53" s="12"/>
      <c r="M53" s="12"/>
      <c r="N53" s="12"/>
      <c r="O53" s="12"/>
      <c r="P53" s="41"/>
      <c r="Q53" s="12"/>
      <c r="R53" s="13"/>
    </row>
    <row r="54" spans="2:18" s="2" customFormat="1" ht="14.25" customHeight="1">
      <c r="B54" s="11"/>
      <c r="C54" s="12"/>
      <c r="D54" s="40"/>
      <c r="E54" s="12"/>
      <c r="F54" s="12"/>
      <c r="G54" s="12"/>
      <c r="H54" s="41"/>
      <c r="I54" s="12"/>
      <c r="J54" s="40"/>
      <c r="K54" s="12"/>
      <c r="L54" s="12"/>
      <c r="M54" s="12"/>
      <c r="N54" s="12"/>
      <c r="O54" s="12"/>
      <c r="P54" s="41"/>
      <c r="Q54" s="12"/>
      <c r="R54" s="13"/>
    </row>
    <row r="55" spans="2:18" s="2" customFormat="1" ht="14.25" customHeight="1">
      <c r="B55" s="11"/>
      <c r="C55" s="12"/>
      <c r="D55" s="40"/>
      <c r="E55" s="12"/>
      <c r="F55" s="12"/>
      <c r="G55" s="12"/>
      <c r="H55" s="41"/>
      <c r="I55" s="12"/>
      <c r="J55" s="40"/>
      <c r="K55" s="12"/>
      <c r="L55" s="12"/>
      <c r="M55" s="12"/>
      <c r="N55" s="12"/>
      <c r="O55" s="12"/>
      <c r="P55" s="41"/>
      <c r="Q55" s="12"/>
      <c r="R55" s="13"/>
    </row>
    <row r="56" spans="2:18" s="2" customFormat="1" ht="14.25" customHeight="1">
      <c r="B56" s="11"/>
      <c r="C56" s="12"/>
      <c r="D56" s="40"/>
      <c r="E56" s="12"/>
      <c r="F56" s="12"/>
      <c r="G56" s="12"/>
      <c r="H56" s="41"/>
      <c r="I56" s="12"/>
      <c r="J56" s="40"/>
      <c r="K56" s="12"/>
      <c r="L56" s="12"/>
      <c r="M56" s="12"/>
      <c r="N56" s="12"/>
      <c r="O56" s="12"/>
      <c r="P56" s="41"/>
      <c r="Q56" s="12"/>
      <c r="R56" s="13"/>
    </row>
    <row r="57" spans="2:18" s="2" customFormat="1" ht="14.25" customHeight="1">
      <c r="B57" s="11"/>
      <c r="C57" s="12"/>
      <c r="D57" s="40"/>
      <c r="E57" s="12"/>
      <c r="F57" s="12"/>
      <c r="G57" s="12"/>
      <c r="H57" s="41"/>
      <c r="I57" s="12"/>
      <c r="J57" s="40"/>
      <c r="K57" s="12"/>
      <c r="L57" s="12"/>
      <c r="M57" s="12"/>
      <c r="N57" s="12"/>
      <c r="O57" s="12"/>
      <c r="P57" s="41"/>
      <c r="Q57" s="12"/>
      <c r="R57" s="13"/>
    </row>
    <row r="58" spans="2:18" s="2" customFormat="1" ht="14.25" customHeight="1">
      <c r="B58" s="11"/>
      <c r="C58" s="12"/>
      <c r="D58" s="40"/>
      <c r="E58" s="12"/>
      <c r="F58" s="12"/>
      <c r="G58" s="12"/>
      <c r="H58" s="41"/>
      <c r="I58" s="12"/>
      <c r="J58" s="40"/>
      <c r="K58" s="12"/>
      <c r="L58" s="12"/>
      <c r="M58" s="12"/>
      <c r="N58" s="12"/>
      <c r="O58" s="12"/>
      <c r="P58" s="41"/>
      <c r="Q58" s="12"/>
      <c r="R58" s="13"/>
    </row>
    <row r="59" spans="2:18" s="7" customFormat="1" ht="15.75" customHeight="1">
      <c r="B59" s="23"/>
      <c r="C59" s="24"/>
      <c r="D59" s="42" t="s">
        <v>52</v>
      </c>
      <c r="E59" s="43"/>
      <c r="F59" s="43"/>
      <c r="G59" s="44" t="s">
        <v>53</v>
      </c>
      <c r="H59" s="45"/>
      <c r="I59" s="24"/>
      <c r="J59" s="42" t="s">
        <v>52</v>
      </c>
      <c r="K59" s="43"/>
      <c r="L59" s="43"/>
      <c r="M59" s="43"/>
      <c r="N59" s="44" t="s">
        <v>53</v>
      </c>
      <c r="O59" s="43"/>
      <c r="P59" s="45"/>
      <c r="Q59" s="24"/>
      <c r="R59" s="25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23"/>
      <c r="C61" s="24"/>
      <c r="D61" s="37" t="s">
        <v>54</v>
      </c>
      <c r="E61" s="38"/>
      <c r="F61" s="38"/>
      <c r="G61" s="38"/>
      <c r="H61" s="39"/>
      <c r="I61" s="24"/>
      <c r="J61" s="37" t="s">
        <v>55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1"/>
      <c r="C62" s="12"/>
      <c r="D62" s="40"/>
      <c r="E62" s="12"/>
      <c r="F62" s="12"/>
      <c r="G62" s="12"/>
      <c r="H62" s="41"/>
      <c r="I62" s="12"/>
      <c r="J62" s="40"/>
      <c r="K62" s="12"/>
      <c r="L62" s="12"/>
      <c r="M62" s="12"/>
      <c r="N62" s="12"/>
      <c r="O62" s="12"/>
      <c r="P62" s="41"/>
      <c r="Q62" s="12"/>
      <c r="R62" s="13"/>
    </row>
    <row r="63" spans="2:18" s="2" customFormat="1" ht="14.25" customHeight="1">
      <c r="B63" s="11"/>
      <c r="C63" s="12"/>
      <c r="D63" s="40"/>
      <c r="E63" s="12"/>
      <c r="F63" s="12"/>
      <c r="G63" s="12"/>
      <c r="H63" s="41"/>
      <c r="I63" s="12"/>
      <c r="J63" s="40"/>
      <c r="K63" s="12"/>
      <c r="L63" s="12"/>
      <c r="M63" s="12"/>
      <c r="N63" s="12"/>
      <c r="O63" s="12"/>
      <c r="P63" s="41"/>
      <c r="Q63" s="12"/>
      <c r="R63" s="13"/>
    </row>
    <row r="64" spans="2:18" s="2" customFormat="1" ht="14.25" customHeight="1">
      <c r="B64" s="11"/>
      <c r="C64" s="12"/>
      <c r="D64" s="40"/>
      <c r="E64" s="12"/>
      <c r="F64" s="12"/>
      <c r="G64" s="12"/>
      <c r="H64" s="41"/>
      <c r="I64" s="12"/>
      <c r="J64" s="40"/>
      <c r="K64" s="12"/>
      <c r="L64" s="12"/>
      <c r="M64" s="12"/>
      <c r="N64" s="12"/>
      <c r="O64" s="12"/>
      <c r="P64" s="41"/>
      <c r="Q64" s="12"/>
      <c r="R64" s="13"/>
    </row>
    <row r="65" spans="2:18" s="2" customFormat="1" ht="14.25" customHeight="1">
      <c r="B65" s="11"/>
      <c r="C65" s="12"/>
      <c r="D65" s="40"/>
      <c r="E65" s="12"/>
      <c r="F65" s="12"/>
      <c r="G65" s="12"/>
      <c r="H65" s="41"/>
      <c r="I65" s="12"/>
      <c r="J65" s="40"/>
      <c r="K65" s="12"/>
      <c r="L65" s="12"/>
      <c r="M65" s="12"/>
      <c r="N65" s="12"/>
      <c r="O65" s="12"/>
      <c r="P65" s="41"/>
      <c r="Q65" s="12"/>
      <c r="R65" s="13"/>
    </row>
    <row r="66" spans="2:18" s="2" customFormat="1" ht="14.25" customHeight="1">
      <c r="B66" s="11"/>
      <c r="C66" s="12"/>
      <c r="D66" s="40"/>
      <c r="E66" s="12"/>
      <c r="F66" s="12"/>
      <c r="G66" s="12"/>
      <c r="H66" s="41"/>
      <c r="I66" s="12"/>
      <c r="J66" s="40"/>
      <c r="K66" s="12"/>
      <c r="L66" s="12"/>
      <c r="M66" s="12"/>
      <c r="N66" s="12"/>
      <c r="O66" s="12"/>
      <c r="P66" s="41"/>
      <c r="Q66" s="12"/>
      <c r="R66" s="13"/>
    </row>
    <row r="67" spans="2:18" s="2" customFormat="1" ht="14.25" customHeight="1">
      <c r="B67" s="11"/>
      <c r="C67" s="12"/>
      <c r="D67" s="40"/>
      <c r="E67" s="12"/>
      <c r="F67" s="12"/>
      <c r="G67" s="12"/>
      <c r="H67" s="41"/>
      <c r="I67" s="12"/>
      <c r="J67" s="40"/>
      <c r="K67" s="12"/>
      <c r="L67" s="12"/>
      <c r="M67" s="12"/>
      <c r="N67" s="12"/>
      <c r="O67" s="12"/>
      <c r="P67" s="41"/>
      <c r="Q67" s="12"/>
      <c r="R67" s="13"/>
    </row>
    <row r="68" spans="2:18" s="2" customFormat="1" ht="14.25" customHeight="1">
      <c r="B68" s="11"/>
      <c r="C68" s="12"/>
      <c r="D68" s="40"/>
      <c r="E68" s="12"/>
      <c r="F68" s="12"/>
      <c r="G68" s="12"/>
      <c r="H68" s="41"/>
      <c r="I68" s="12"/>
      <c r="J68" s="40"/>
      <c r="K68" s="12"/>
      <c r="L68" s="12"/>
      <c r="M68" s="12"/>
      <c r="N68" s="12"/>
      <c r="O68" s="12"/>
      <c r="P68" s="41"/>
      <c r="Q68" s="12"/>
      <c r="R68" s="13"/>
    </row>
    <row r="69" spans="2:18" s="2" customFormat="1" ht="14.25" customHeight="1">
      <c r="B69" s="11"/>
      <c r="C69" s="12"/>
      <c r="D69" s="40"/>
      <c r="E69" s="12"/>
      <c r="F69" s="12"/>
      <c r="G69" s="12"/>
      <c r="H69" s="41"/>
      <c r="I69" s="12"/>
      <c r="J69" s="40"/>
      <c r="K69" s="12"/>
      <c r="L69" s="12"/>
      <c r="M69" s="12"/>
      <c r="N69" s="12"/>
      <c r="O69" s="12"/>
      <c r="P69" s="41"/>
      <c r="Q69" s="12"/>
      <c r="R69" s="13"/>
    </row>
    <row r="70" spans="2:18" s="7" customFormat="1" ht="15.75" customHeight="1">
      <c r="B70" s="23"/>
      <c r="C70" s="24"/>
      <c r="D70" s="42" t="s">
        <v>52</v>
      </c>
      <c r="E70" s="43"/>
      <c r="F70" s="43"/>
      <c r="G70" s="44" t="s">
        <v>53</v>
      </c>
      <c r="H70" s="45"/>
      <c r="I70" s="24"/>
      <c r="J70" s="42" t="s">
        <v>52</v>
      </c>
      <c r="K70" s="43"/>
      <c r="L70" s="43"/>
      <c r="M70" s="43"/>
      <c r="N70" s="44" t="s">
        <v>53</v>
      </c>
      <c r="O70" s="43"/>
      <c r="P70" s="45"/>
      <c r="Q70" s="24"/>
      <c r="R70" s="25"/>
    </row>
    <row r="71" spans="2:18" s="7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7" customFormat="1" ht="7.5" customHeight="1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3"/>
    </row>
    <row r="76" spans="2:21" s="7" customFormat="1" ht="37.5" customHeight="1">
      <c r="B76" s="23"/>
      <c r="C76" s="185" t="s">
        <v>110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5"/>
      <c r="T76" s="24"/>
      <c r="U76" s="24"/>
    </row>
    <row r="77" spans="2:21" s="7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7" customFormat="1" ht="15" customHeight="1">
      <c r="B78" s="23"/>
      <c r="C78" s="17" t="s">
        <v>14</v>
      </c>
      <c r="D78" s="24"/>
      <c r="E78" s="24"/>
      <c r="F78" s="229" t="str">
        <f>$F$6</f>
        <v>2013-24 - Stavební úpravy stodoly - p.č. 11/5 na sklad protipovodňových prostředků - nabídkový rozpočet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4"/>
      <c r="R78" s="25"/>
      <c r="T78" s="24"/>
      <c r="U78" s="24"/>
    </row>
    <row r="79" spans="2:21" s="7" customFormat="1" ht="15" customHeight="1">
      <c r="B79" s="23"/>
      <c r="C79" s="16" t="s">
        <v>108</v>
      </c>
      <c r="D79" s="24"/>
      <c r="E79" s="24"/>
      <c r="F79" s="186" t="str">
        <f>$F$7</f>
        <v>2013-24-2 - Zpevněná plocha - nabídkový rozpočet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4"/>
      <c r="R79" s="25"/>
      <c r="T79" s="24"/>
      <c r="U79" s="24"/>
    </row>
    <row r="80" spans="2:21" s="7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7" customFormat="1" ht="18.75" customHeight="1">
      <c r="B81" s="23"/>
      <c r="C81" s="17" t="s">
        <v>17</v>
      </c>
      <c r="D81" s="24"/>
      <c r="E81" s="24"/>
      <c r="F81" s="18" t="str">
        <f>$F$9</f>
        <v>Albrechtice n. Orl.</v>
      </c>
      <c r="G81" s="24"/>
      <c r="H81" s="24"/>
      <c r="I81" s="24"/>
      <c r="J81" s="24"/>
      <c r="K81" s="17" t="s">
        <v>19</v>
      </c>
      <c r="L81" s="24"/>
      <c r="M81" s="225" t="str">
        <f>IF($O$9="","",$O$9)</f>
        <v>18.09.2013</v>
      </c>
      <c r="N81" s="170"/>
      <c r="O81" s="170"/>
      <c r="P81" s="170"/>
      <c r="Q81" s="24"/>
      <c r="R81" s="25"/>
      <c r="T81" s="24"/>
      <c r="U81" s="24"/>
    </row>
    <row r="82" spans="2:21" s="7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7" customFormat="1" ht="15.75" customHeight="1">
      <c r="B83" s="23"/>
      <c r="C83" s="17" t="s">
        <v>23</v>
      </c>
      <c r="D83" s="24"/>
      <c r="E83" s="24"/>
      <c r="F83" s="18" t="str">
        <f>$E$12</f>
        <v>Obec Albrechtice n. Orl. </v>
      </c>
      <c r="G83" s="24"/>
      <c r="H83" s="24"/>
      <c r="I83" s="24"/>
      <c r="J83" s="24"/>
      <c r="K83" s="17" t="s">
        <v>30</v>
      </c>
      <c r="L83" s="24"/>
      <c r="M83" s="187" t="str">
        <f>$E$18</f>
        <v>Jan Malina</v>
      </c>
      <c r="N83" s="170"/>
      <c r="O83" s="170"/>
      <c r="P83" s="170"/>
      <c r="Q83" s="170"/>
      <c r="R83" s="25"/>
      <c r="T83" s="24"/>
      <c r="U83" s="24"/>
    </row>
    <row r="84" spans="2:21" s="7" customFormat="1" ht="15" customHeight="1">
      <c r="B84" s="23"/>
      <c r="C84" s="17" t="s">
        <v>28</v>
      </c>
      <c r="D84" s="24"/>
      <c r="E84" s="24"/>
      <c r="F84" s="18" t="str">
        <f>IF($E$15="","",$E$15)</f>
        <v>Vyplň údaj</v>
      </c>
      <c r="G84" s="24"/>
      <c r="H84" s="24"/>
      <c r="I84" s="24"/>
      <c r="J84" s="24"/>
      <c r="K84" s="17" t="s">
        <v>34</v>
      </c>
      <c r="L84" s="24"/>
      <c r="M84" s="187" t="str">
        <f>$E$21</f>
        <v>Jaroslav Krunčík</v>
      </c>
      <c r="N84" s="170"/>
      <c r="O84" s="170"/>
      <c r="P84" s="170"/>
      <c r="Q84" s="170"/>
      <c r="R84" s="25"/>
      <c r="T84" s="24"/>
      <c r="U84" s="24"/>
    </row>
    <row r="85" spans="2:21" s="7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7" customFormat="1" ht="30" customHeight="1">
      <c r="B86" s="23"/>
      <c r="C86" s="233" t="s">
        <v>111</v>
      </c>
      <c r="D86" s="166"/>
      <c r="E86" s="166"/>
      <c r="F86" s="166"/>
      <c r="G86" s="166"/>
      <c r="H86" s="33"/>
      <c r="I86" s="33"/>
      <c r="J86" s="33"/>
      <c r="K86" s="33"/>
      <c r="L86" s="33"/>
      <c r="M86" s="33"/>
      <c r="N86" s="233" t="s">
        <v>112</v>
      </c>
      <c r="O86" s="170"/>
      <c r="P86" s="170"/>
      <c r="Q86" s="170"/>
      <c r="R86" s="25"/>
      <c r="T86" s="24"/>
      <c r="U86" s="24"/>
    </row>
    <row r="87" spans="2:21" s="7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7" customFormat="1" ht="30" customHeight="1">
      <c r="B88" s="23"/>
      <c r="C88" s="67" t="s">
        <v>113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73">
        <f>ROUNDUP($N$121,2)</f>
        <v>0</v>
      </c>
      <c r="O88" s="170"/>
      <c r="P88" s="170"/>
      <c r="Q88" s="170"/>
      <c r="R88" s="25"/>
      <c r="T88" s="24"/>
      <c r="U88" s="24"/>
      <c r="AU88" s="7" t="s">
        <v>114</v>
      </c>
    </row>
    <row r="89" spans="2:21" s="72" customFormat="1" ht="25.5" customHeight="1">
      <c r="B89" s="104"/>
      <c r="C89" s="105"/>
      <c r="D89" s="105" t="s">
        <v>115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31">
        <f>ROUNDUP($N$122,2)</f>
        <v>0</v>
      </c>
      <c r="O89" s="232"/>
      <c r="P89" s="232"/>
      <c r="Q89" s="232"/>
      <c r="R89" s="106"/>
      <c r="T89" s="105"/>
      <c r="U89" s="105"/>
    </row>
    <row r="90" spans="2:21" s="107" customFormat="1" ht="21" customHeight="1">
      <c r="B90" s="108"/>
      <c r="C90" s="85"/>
      <c r="D90" s="85" t="s">
        <v>116</v>
      </c>
      <c r="E90" s="85"/>
      <c r="F90" s="85"/>
      <c r="G90" s="85"/>
      <c r="H90" s="85"/>
      <c r="I90" s="85"/>
      <c r="J90" s="85"/>
      <c r="K90" s="85"/>
      <c r="L90" s="85"/>
      <c r="M90" s="85"/>
      <c r="N90" s="172">
        <f>ROUNDUP($N$123,2)</f>
        <v>0</v>
      </c>
      <c r="O90" s="230"/>
      <c r="P90" s="230"/>
      <c r="Q90" s="230"/>
      <c r="R90" s="109"/>
      <c r="T90" s="85"/>
      <c r="U90" s="85"/>
    </row>
    <row r="91" spans="2:21" s="107" customFormat="1" ht="21" customHeight="1">
      <c r="B91" s="108"/>
      <c r="C91" s="85"/>
      <c r="D91" s="85" t="s">
        <v>769</v>
      </c>
      <c r="E91" s="85"/>
      <c r="F91" s="85"/>
      <c r="G91" s="85"/>
      <c r="H91" s="85"/>
      <c r="I91" s="85"/>
      <c r="J91" s="85"/>
      <c r="K91" s="85"/>
      <c r="L91" s="85"/>
      <c r="M91" s="85"/>
      <c r="N91" s="172">
        <f>ROUNDUP($N$126,2)</f>
        <v>0</v>
      </c>
      <c r="O91" s="230"/>
      <c r="P91" s="230"/>
      <c r="Q91" s="230"/>
      <c r="R91" s="109"/>
      <c r="T91" s="85"/>
      <c r="U91" s="85"/>
    </row>
    <row r="92" spans="2:21" s="107" customFormat="1" ht="21" customHeight="1">
      <c r="B92" s="108"/>
      <c r="C92" s="85"/>
      <c r="D92" s="85" t="s">
        <v>121</v>
      </c>
      <c r="E92" s="85"/>
      <c r="F92" s="85"/>
      <c r="G92" s="85"/>
      <c r="H92" s="85"/>
      <c r="I92" s="85"/>
      <c r="J92" s="85"/>
      <c r="K92" s="85"/>
      <c r="L92" s="85"/>
      <c r="M92" s="85"/>
      <c r="N92" s="172">
        <f>ROUNDUP($N$129,2)</f>
        <v>0</v>
      </c>
      <c r="O92" s="230"/>
      <c r="P92" s="230"/>
      <c r="Q92" s="230"/>
      <c r="R92" s="109"/>
      <c r="T92" s="85"/>
      <c r="U92" s="85"/>
    </row>
    <row r="93" spans="2:21" s="107" customFormat="1" ht="15.75" customHeight="1">
      <c r="B93" s="108"/>
      <c r="C93" s="85"/>
      <c r="D93" s="85" t="s">
        <v>122</v>
      </c>
      <c r="E93" s="85"/>
      <c r="F93" s="85"/>
      <c r="G93" s="85"/>
      <c r="H93" s="85"/>
      <c r="I93" s="85"/>
      <c r="J93" s="85"/>
      <c r="K93" s="85"/>
      <c r="L93" s="85"/>
      <c r="M93" s="85"/>
      <c r="N93" s="172">
        <f>ROUNDUP($N$132,2)</f>
        <v>0</v>
      </c>
      <c r="O93" s="230"/>
      <c r="P93" s="230"/>
      <c r="Q93" s="230"/>
      <c r="R93" s="109"/>
      <c r="T93" s="85"/>
      <c r="U93" s="85"/>
    </row>
    <row r="94" spans="2:21" s="72" customFormat="1" ht="22.5" customHeight="1">
      <c r="B94" s="104"/>
      <c r="C94" s="105"/>
      <c r="D94" s="105" t="s">
        <v>136</v>
      </c>
      <c r="E94" s="105"/>
      <c r="F94" s="105"/>
      <c r="G94" s="105"/>
      <c r="H94" s="105"/>
      <c r="I94" s="105"/>
      <c r="J94" s="105"/>
      <c r="K94" s="105"/>
      <c r="L94" s="105"/>
      <c r="M94" s="105"/>
      <c r="N94" s="208">
        <f>$N$138</f>
        <v>0</v>
      </c>
      <c r="O94" s="232"/>
      <c r="P94" s="232"/>
      <c r="Q94" s="232"/>
      <c r="R94" s="106"/>
      <c r="T94" s="105"/>
      <c r="U94" s="105"/>
    </row>
    <row r="95" spans="2:21" s="7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7" customFormat="1" ht="30" customHeight="1">
      <c r="B96" s="23"/>
      <c r="C96" s="67" t="s">
        <v>137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73">
        <f>ROUNDUP($N$97+$N$98+$N$99+$N$100+$N$101+$N$102,2)</f>
        <v>0</v>
      </c>
      <c r="O96" s="170"/>
      <c r="P96" s="170"/>
      <c r="Q96" s="170"/>
      <c r="R96" s="25"/>
      <c r="T96" s="110"/>
      <c r="U96" s="111" t="s">
        <v>40</v>
      </c>
    </row>
    <row r="97" spans="2:62" s="7" customFormat="1" ht="18.75" customHeight="1">
      <c r="B97" s="23"/>
      <c r="C97" s="24"/>
      <c r="D97" s="169" t="s">
        <v>138</v>
      </c>
      <c r="E97" s="170"/>
      <c r="F97" s="170"/>
      <c r="G97" s="170"/>
      <c r="H97" s="170"/>
      <c r="I97" s="24"/>
      <c r="J97" s="24"/>
      <c r="K97" s="24"/>
      <c r="L97" s="24"/>
      <c r="M97" s="24"/>
      <c r="N97" s="171">
        <f>ROUNDUP($N$88*$T$97,2)</f>
        <v>0</v>
      </c>
      <c r="O97" s="170"/>
      <c r="P97" s="170"/>
      <c r="Q97" s="170"/>
      <c r="R97" s="25"/>
      <c r="T97" s="112"/>
      <c r="U97" s="113" t="s">
        <v>41</v>
      </c>
      <c r="AY97" s="7" t="s">
        <v>139</v>
      </c>
      <c r="BE97" s="89">
        <f>IF($U$97="základní",$N$97,0)</f>
        <v>0</v>
      </c>
      <c r="BF97" s="89">
        <f>IF($U$97="snížená",$N$97,0)</f>
        <v>0</v>
      </c>
      <c r="BG97" s="89">
        <f>IF($U$97="zákl. přenesená",$N$97,0)</f>
        <v>0</v>
      </c>
      <c r="BH97" s="89">
        <f>IF($U$97="sníž. přenesená",$N$97,0)</f>
        <v>0</v>
      </c>
      <c r="BI97" s="89">
        <f>IF($U$97="nulová",$N$97,0)</f>
        <v>0</v>
      </c>
      <c r="BJ97" s="7" t="s">
        <v>16</v>
      </c>
    </row>
    <row r="98" spans="2:62" s="7" customFormat="1" ht="18.75" customHeight="1">
      <c r="B98" s="23"/>
      <c r="C98" s="24"/>
      <c r="D98" s="169" t="s">
        <v>140</v>
      </c>
      <c r="E98" s="170"/>
      <c r="F98" s="170"/>
      <c r="G98" s="170"/>
      <c r="H98" s="170"/>
      <c r="I98" s="24"/>
      <c r="J98" s="24"/>
      <c r="K98" s="24"/>
      <c r="L98" s="24"/>
      <c r="M98" s="24"/>
      <c r="N98" s="171">
        <f>ROUNDUP($N$88*$T$98,2)</f>
        <v>0</v>
      </c>
      <c r="O98" s="170"/>
      <c r="P98" s="170"/>
      <c r="Q98" s="170"/>
      <c r="R98" s="25"/>
      <c r="T98" s="112"/>
      <c r="U98" s="113" t="s">
        <v>41</v>
      </c>
      <c r="AY98" s="7" t="s">
        <v>139</v>
      </c>
      <c r="BE98" s="89">
        <f>IF($U$98="základní",$N$98,0)</f>
        <v>0</v>
      </c>
      <c r="BF98" s="89">
        <f>IF($U$98="snížená",$N$98,0)</f>
        <v>0</v>
      </c>
      <c r="BG98" s="89">
        <f>IF($U$98="zákl. přenesená",$N$98,0)</f>
        <v>0</v>
      </c>
      <c r="BH98" s="89">
        <f>IF($U$98="sníž. přenesená",$N$98,0)</f>
        <v>0</v>
      </c>
      <c r="BI98" s="89">
        <f>IF($U$98="nulová",$N$98,0)</f>
        <v>0</v>
      </c>
      <c r="BJ98" s="7" t="s">
        <v>16</v>
      </c>
    </row>
    <row r="99" spans="2:62" s="7" customFormat="1" ht="18.75" customHeight="1">
      <c r="B99" s="23"/>
      <c r="C99" s="24"/>
      <c r="D99" s="169" t="s">
        <v>141</v>
      </c>
      <c r="E99" s="170"/>
      <c r="F99" s="170"/>
      <c r="G99" s="170"/>
      <c r="H99" s="170"/>
      <c r="I99" s="24"/>
      <c r="J99" s="24"/>
      <c r="K99" s="24"/>
      <c r="L99" s="24"/>
      <c r="M99" s="24"/>
      <c r="N99" s="171">
        <f>ROUNDUP($N$88*$T$99,2)</f>
        <v>0</v>
      </c>
      <c r="O99" s="170"/>
      <c r="P99" s="170"/>
      <c r="Q99" s="170"/>
      <c r="R99" s="25"/>
      <c r="T99" s="112"/>
      <c r="U99" s="113" t="s">
        <v>41</v>
      </c>
      <c r="AY99" s="7" t="s">
        <v>139</v>
      </c>
      <c r="BE99" s="89">
        <f>IF($U$99="základní",$N$99,0)</f>
        <v>0</v>
      </c>
      <c r="BF99" s="89">
        <f>IF($U$99="snížená",$N$99,0)</f>
        <v>0</v>
      </c>
      <c r="BG99" s="89">
        <f>IF($U$99="zákl. přenesená",$N$99,0)</f>
        <v>0</v>
      </c>
      <c r="BH99" s="89">
        <f>IF($U$99="sníž. přenesená",$N$99,0)</f>
        <v>0</v>
      </c>
      <c r="BI99" s="89">
        <f>IF($U$99="nulová",$N$99,0)</f>
        <v>0</v>
      </c>
      <c r="BJ99" s="7" t="s">
        <v>16</v>
      </c>
    </row>
    <row r="100" spans="2:62" s="7" customFormat="1" ht="18.75" customHeight="1">
      <c r="B100" s="23"/>
      <c r="C100" s="24"/>
      <c r="D100" s="169" t="s">
        <v>142</v>
      </c>
      <c r="E100" s="170"/>
      <c r="F100" s="170"/>
      <c r="G100" s="170"/>
      <c r="H100" s="170"/>
      <c r="I100" s="24"/>
      <c r="J100" s="24"/>
      <c r="K100" s="24"/>
      <c r="L100" s="24"/>
      <c r="M100" s="24"/>
      <c r="N100" s="171">
        <f>ROUNDUP($N$88*$T$100,2)</f>
        <v>0</v>
      </c>
      <c r="O100" s="170"/>
      <c r="P100" s="170"/>
      <c r="Q100" s="170"/>
      <c r="R100" s="25"/>
      <c r="T100" s="112"/>
      <c r="U100" s="113" t="s">
        <v>41</v>
      </c>
      <c r="AY100" s="7" t="s">
        <v>139</v>
      </c>
      <c r="BE100" s="89">
        <f>IF($U$100="základní",$N$100,0)</f>
        <v>0</v>
      </c>
      <c r="BF100" s="89">
        <f>IF($U$100="snížená",$N$100,0)</f>
        <v>0</v>
      </c>
      <c r="BG100" s="89">
        <f>IF($U$100="zákl. přenesená",$N$100,0)</f>
        <v>0</v>
      </c>
      <c r="BH100" s="89">
        <f>IF($U$100="sníž. přenesená",$N$100,0)</f>
        <v>0</v>
      </c>
      <c r="BI100" s="89">
        <f>IF($U$100="nulová",$N$100,0)</f>
        <v>0</v>
      </c>
      <c r="BJ100" s="7" t="s">
        <v>16</v>
      </c>
    </row>
    <row r="101" spans="2:62" s="7" customFormat="1" ht="18.75" customHeight="1">
      <c r="B101" s="23"/>
      <c r="C101" s="24"/>
      <c r="D101" s="169" t="s">
        <v>143</v>
      </c>
      <c r="E101" s="170"/>
      <c r="F101" s="170"/>
      <c r="G101" s="170"/>
      <c r="H101" s="170"/>
      <c r="I101" s="24"/>
      <c r="J101" s="24"/>
      <c r="K101" s="24"/>
      <c r="L101" s="24"/>
      <c r="M101" s="24"/>
      <c r="N101" s="171">
        <f>ROUNDUP($N$88*$T$101,2)</f>
        <v>0</v>
      </c>
      <c r="O101" s="170"/>
      <c r="P101" s="170"/>
      <c r="Q101" s="170"/>
      <c r="R101" s="25"/>
      <c r="T101" s="112"/>
      <c r="U101" s="113" t="s">
        <v>41</v>
      </c>
      <c r="AY101" s="7" t="s">
        <v>139</v>
      </c>
      <c r="BE101" s="89">
        <f>IF($U$101="základní",$N$101,0)</f>
        <v>0</v>
      </c>
      <c r="BF101" s="89">
        <f>IF($U$101="snížená",$N$101,0)</f>
        <v>0</v>
      </c>
      <c r="BG101" s="89">
        <f>IF($U$101="zákl. přenesená",$N$101,0)</f>
        <v>0</v>
      </c>
      <c r="BH101" s="89">
        <f>IF($U$101="sníž. přenesená",$N$101,0)</f>
        <v>0</v>
      </c>
      <c r="BI101" s="89">
        <f>IF($U$101="nulová",$N$101,0)</f>
        <v>0</v>
      </c>
      <c r="BJ101" s="7" t="s">
        <v>16</v>
      </c>
    </row>
    <row r="102" spans="2:62" s="7" customFormat="1" ht="18.75" customHeight="1">
      <c r="B102" s="23"/>
      <c r="C102" s="24"/>
      <c r="D102" s="85" t="s">
        <v>144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71">
        <f>ROUNDUP($N$88*$T$102,2)</f>
        <v>0</v>
      </c>
      <c r="O102" s="170"/>
      <c r="P102" s="170"/>
      <c r="Q102" s="170"/>
      <c r="R102" s="25"/>
      <c r="T102" s="114"/>
      <c r="U102" s="115" t="s">
        <v>41</v>
      </c>
      <c r="AY102" s="7" t="s">
        <v>145</v>
      </c>
      <c r="BE102" s="89">
        <f>IF($U$102="základní",$N$102,0)</f>
        <v>0</v>
      </c>
      <c r="BF102" s="89">
        <f>IF($U$102="snížená",$N$102,0)</f>
        <v>0</v>
      </c>
      <c r="BG102" s="89">
        <f>IF($U$102="zákl. přenesená",$N$102,0)</f>
        <v>0</v>
      </c>
      <c r="BH102" s="89">
        <f>IF($U$102="sníž. přenesená",$N$102,0)</f>
        <v>0</v>
      </c>
      <c r="BI102" s="89">
        <f>IF($U$102="nulová",$N$102,0)</f>
        <v>0</v>
      </c>
      <c r="BJ102" s="7" t="s">
        <v>16</v>
      </c>
    </row>
    <row r="103" spans="2:21" s="7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7" customFormat="1" ht="30" customHeight="1">
      <c r="B104" s="23"/>
      <c r="C104" s="96" t="s">
        <v>104</v>
      </c>
      <c r="D104" s="33"/>
      <c r="E104" s="33"/>
      <c r="F104" s="33"/>
      <c r="G104" s="33"/>
      <c r="H104" s="33"/>
      <c r="I104" s="33"/>
      <c r="J104" s="33"/>
      <c r="K104" s="33"/>
      <c r="L104" s="165">
        <f>ROUNDUP(SUM($N$88+$N$96),2)</f>
        <v>0</v>
      </c>
      <c r="M104" s="166"/>
      <c r="N104" s="166"/>
      <c r="O104" s="166"/>
      <c r="P104" s="166"/>
      <c r="Q104" s="166"/>
      <c r="R104" s="25"/>
      <c r="T104" s="24"/>
      <c r="U104" s="24"/>
    </row>
    <row r="105" spans="2:21" s="7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7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7" customFormat="1" ht="37.5" customHeight="1">
      <c r="B110" s="23"/>
      <c r="C110" s="185" t="s">
        <v>146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25"/>
    </row>
    <row r="111" spans="2:18" s="7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7" customFormat="1" ht="15" customHeight="1">
      <c r="B112" s="23"/>
      <c r="C112" s="17" t="s">
        <v>14</v>
      </c>
      <c r="D112" s="24"/>
      <c r="E112" s="24"/>
      <c r="F112" s="229" t="str">
        <f>$F$6</f>
        <v>2013-24 - Stavební úpravy stodoly - p.č. 11/5 na sklad protipovodňových prostředků - nabídkový rozpočet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24"/>
      <c r="R112" s="25"/>
    </row>
    <row r="113" spans="2:18" s="7" customFormat="1" ht="15" customHeight="1">
      <c r="B113" s="23"/>
      <c r="C113" s="16" t="s">
        <v>108</v>
      </c>
      <c r="D113" s="24"/>
      <c r="E113" s="24"/>
      <c r="F113" s="186" t="str">
        <f>$F$7</f>
        <v>2013-24-2 - Zpevněná plocha - nabídkový rozpočet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24"/>
      <c r="R113" s="25"/>
    </row>
    <row r="114" spans="2:18" s="7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7" customFormat="1" ht="18.75" customHeight="1">
      <c r="B115" s="23"/>
      <c r="C115" s="17" t="s">
        <v>17</v>
      </c>
      <c r="D115" s="24"/>
      <c r="E115" s="24"/>
      <c r="F115" s="18" t="str">
        <f>$F$9</f>
        <v>Albrechtice n. Orl.</v>
      </c>
      <c r="G115" s="24"/>
      <c r="H115" s="24"/>
      <c r="I115" s="24"/>
      <c r="J115" s="24"/>
      <c r="K115" s="17" t="s">
        <v>19</v>
      </c>
      <c r="L115" s="24"/>
      <c r="M115" s="225" t="str">
        <f>IF($O$9="","",$O$9)</f>
        <v>18.09.2013</v>
      </c>
      <c r="N115" s="170"/>
      <c r="O115" s="170"/>
      <c r="P115" s="170"/>
      <c r="Q115" s="24"/>
      <c r="R115" s="25"/>
    </row>
    <row r="116" spans="2:18" s="7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7" customFormat="1" ht="15.75" customHeight="1">
      <c r="B117" s="23"/>
      <c r="C117" s="17" t="s">
        <v>23</v>
      </c>
      <c r="D117" s="24"/>
      <c r="E117" s="24"/>
      <c r="F117" s="18" t="str">
        <f>$E$12</f>
        <v>Obec Albrechtice n. Orl. </v>
      </c>
      <c r="G117" s="24"/>
      <c r="H117" s="24"/>
      <c r="I117" s="24"/>
      <c r="J117" s="24"/>
      <c r="K117" s="17" t="s">
        <v>30</v>
      </c>
      <c r="L117" s="24"/>
      <c r="M117" s="187" t="str">
        <f>$E$18</f>
        <v>Jan Malina</v>
      </c>
      <c r="N117" s="170"/>
      <c r="O117" s="170"/>
      <c r="P117" s="170"/>
      <c r="Q117" s="170"/>
      <c r="R117" s="25"/>
    </row>
    <row r="118" spans="2:18" s="7" customFormat="1" ht="15" customHeight="1">
      <c r="B118" s="23"/>
      <c r="C118" s="17" t="s">
        <v>28</v>
      </c>
      <c r="D118" s="24"/>
      <c r="E118" s="24"/>
      <c r="F118" s="18" t="str">
        <f>IF($E$15="","",$E$15)</f>
        <v>Vyplň údaj</v>
      </c>
      <c r="G118" s="24"/>
      <c r="H118" s="24"/>
      <c r="I118" s="24"/>
      <c r="J118" s="24"/>
      <c r="K118" s="17" t="s">
        <v>34</v>
      </c>
      <c r="L118" s="24"/>
      <c r="M118" s="187" t="str">
        <f>$E$21</f>
        <v>Jaroslav Krunčík</v>
      </c>
      <c r="N118" s="170"/>
      <c r="O118" s="170"/>
      <c r="P118" s="170"/>
      <c r="Q118" s="170"/>
      <c r="R118" s="25"/>
    </row>
    <row r="119" spans="2:18" s="7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16" customFormat="1" ht="30" customHeight="1">
      <c r="B120" s="117"/>
      <c r="C120" s="118" t="s">
        <v>147</v>
      </c>
      <c r="D120" s="119" t="s">
        <v>148</v>
      </c>
      <c r="E120" s="119" t="s">
        <v>58</v>
      </c>
      <c r="F120" s="226" t="s">
        <v>149</v>
      </c>
      <c r="G120" s="227"/>
      <c r="H120" s="227"/>
      <c r="I120" s="227"/>
      <c r="J120" s="119" t="s">
        <v>150</v>
      </c>
      <c r="K120" s="119" t="s">
        <v>151</v>
      </c>
      <c r="L120" s="226" t="s">
        <v>152</v>
      </c>
      <c r="M120" s="227"/>
      <c r="N120" s="226" t="s">
        <v>153</v>
      </c>
      <c r="O120" s="227"/>
      <c r="P120" s="227"/>
      <c r="Q120" s="228"/>
      <c r="R120" s="120"/>
      <c r="T120" s="62" t="s">
        <v>154</v>
      </c>
      <c r="U120" s="63" t="s">
        <v>40</v>
      </c>
      <c r="V120" s="63" t="s">
        <v>155</v>
      </c>
      <c r="W120" s="63" t="s">
        <v>156</v>
      </c>
      <c r="X120" s="63" t="s">
        <v>157</v>
      </c>
      <c r="Y120" s="63" t="s">
        <v>158</v>
      </c>
      <c r="Z120" s="63" t="s">
        <v>159</v>
      </c>
      <c r="AA120" s="64" t="s">
        <v>160</v>
      </c>
    </row>
    <row r="121" spans="2:63" s="7" customFormat="1" ht="30" customHeight="1">
      <c r="B121" s="23"/>
      <c r="C121" s="67" t="s">
        <v>109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09">
        <f>$BK$121</f>
        <v>0</v>
      </c>
      <c r="O121" s="170"/>
      <c r="P121" s="170"/>
      <c r="Q121" s="170"/>
      <c r="R121" s="25"/>
      <c r="T121" s="66"/>
      <c r="U121" s="38"/>
      <c r="V121" s="38"/>
      <c r="W121" s="121">
        <f>$W$122+$W$138</f>
        <v>11.891679</v>
      </c>
      <c r="X121" s="38"/>
      <c r="Y121" s="121">
        <f>$Y$122+$Y$138</f>
        <v>5.4715619700000016</v>
      </c>
      <c r="Z121" s="38"/>
      <c r="AA121" s="122">
        <f>$AA$122+$AA$138</f>
        <v>2.7540000000000004</v>
      </c>
      <c r="AT121" s="7" t="s">
        <v>75</v>
      </c>
      <c r="AU121" s="7" t="s">
        <v>114</v>
      </c>
      <c r="BK121" s="123">
        <f>$BK$122+$BK$138</f>
        <v>0</v>
      </c>
    </row>
    <row r="122" spans="2:63" s="124" customFormat="1" ht="37.5" customHeight="1">
      <c r="B122" s="125"/>
      <c r="C122" s="126"/>
      <c r="D122" s="127" t="s">
        <v>115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208">
        <f>$BK$122</f>
        <v>0</v>
      </c>
      <c r="O122" s="207"/>
      <c r="P122" s="207"/>
      <c r="Q122" s="207"/>
      <c r="R122" s="128"/>
      <c r="T122" s="129"/>
      <c r="U122" s="126"/>
      <c r="V122" s="126"/>
      <c r="W122" s="130">
        <f>$W$123+$W$126+$W$129</f>
        <v>11.891679</v>
      </c>
      <c r="X122" s="126"/>
      <c r="Y122" s="130">
        <f>$Y$123+$Y$126+$Y$129</f>
        <v>5.4715619700000016</v>
      </c>
      <c r="Z122" s="126"/>
      <c r="AA122" s="131">
        <f>$AA$123+$AA$126+$AA$129</f>
        <v>2.7540000000000004</v>
      </c>
      <c r="AR122" s="132" t="s">
        <v>16</v>
      </c>
      <c r="AT122" s="132" t="s">
        <v>75</v>
      </c>
      <c r="AU122" s="132" t="s">
        <v>76</v>
      </c>
      <c r="AY122" s="132" t="s">
        <v>161</v>
      </c>
      <c r="BK122" s="133">
        <f>$BK$123+$BK$126+$BK$129</f>
        <v>0</v>
      </c>
    </row>
    <row r="123" spans="2:63" s="124" customFormat="1" ht="21" customHeight="1">
      <c r="B123" s="125"/>
      <c r="C123" s="126"/>
      <c r="D123" s="134" t="s">
        <v>116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206">
        <f>$BK$123</f>
        <v>0</v>
      </c>
      <c r="O123" s="207"/>
      <c r="P123" s="207"/>
      <c r="Q123" s="207"/>
      <c r="R123" s="128"/>
      <c r="T123" s="129"/>
      <c r="U123" s="126"/>
      <c r="V123" s="126"/>
      <c r="W123" s="130">
        <f>SUM($W$124:$W$125)</f>
        <v>1.7280000000000002</v>
      </c>
      <c r="X123" s="126"/>
      <c r="Y123" s="130">
        <f>SUM($Y$124:$Y$125)</f>
        <v>0</v>
      </c>
      <c r="Z123" s="126"/>
      <c r="AA123" s="131">
        <f>SUM($AA$124:$AA$125)</f>
        <v>2.7540000000000004</v>
      </c>
      <c r="AR123" s="132" t="s">
        <v>16</v>
      </c>
      <c r="AT123" s="132" t="s">
        <v>75</v>
      </c>
      <c r="AU123" s="132" t="s">
        <v>16</v>
      </c>
      <c r="AY123" s="132" t="s">
        <v>161</v>
      </c>
      <c r="BK123" s="133">
        <f>SUM($BK$124:$BK$125)</f>
        <v>0</v>
      </c>
    </row>
    <row r="124" spans="2:64" s="7" customFormat="1" ht="27" customHeight="1">
      <c r="B124" s="23"/>
      <c r="C124" s="135" t="s">
        <v>16</v>
      </c>
      <c r="D124" s="135" t="s">
        <v>163</v>
      </c>
      <c r="E124" s="136" t="s">
        <v>770</v>
      </c>
      <c r="F124" s="217" t="s">
        <v>771</v>
      </c>
      <c r="G124" s="213"/>
      <c r="H124" s="213"/>
      <c r="I124" s="213"/>
      <c r="J124" s="137" t="s">
        <v>214</v>
      </c>
      <c r="K124" s="138">
        <v>10.8</v>
      </c>
      <c r="L124" s="212">
        <v>0</v>
      </c>
      <c r="M124" s="213"/>
      <c r="N124" s="214">
        <f>ROUND($L$124*$K$124,2)</f>
        <v>0</v>
      </c>
      <c r="O124" s="213"/>
      <c r="P124" s="213"/>
      <c r="Q124" s="213"/>
      <c r="R124" s="25"/>
      <c r="T124" s="139"/>
      <c r="U124" s="31" t="s">
        <v>41</v>
      </c>
      <c r="V124" s="140">
        <v>0.16</v>
      </c>
      <c r="W124" s="140">
        <f>$V$124*$K$124</f>
        <v>1.7280000000000002</v>
      </c>
      <c r="X124" s="140">
        <v>0</v>
      </c>
      <c r="Y124" s="140">
        <f>$X$124*$K$124</f>
        <v>0</v>
      </c>
      <c r="Z124" s="140">
        <v>0.255</v>
      </c>
      <c r="AA124" s="141">
        <f>$Z$124*$K$124</f>
        <v>2.7540000000000004</v>
      </c>
      <c r="AR124" s="7" t="s">
        <v>167</v>
      </c>
      <c r="AT124" s="7" t="s">
        <v>163</v>
      </c>
      <c r="AU124" s="7" t="s">
        <v>106</v>
      </c>
      <c r="AY124" s="7" t="s">
        <v>161</v>
      </c>
      <c r="BE124" s="89">
        <f>IF($U$124="základní",$N$124,0)</f>
        <v>0</v>
      </c>
      <c r="BF124" s="89">
        <f>IF($U$124="snížená",$N$124,0)</f>
        <v>0</v>
      </c>
      <c r="BG124" s="89">
        <f>IF($U$124="zákl. přenesená",$N$124,0)</f>
        <v>0</v>
      </c>
      <c r="BH124" s="89">
        <f>IF($U$124="sníž. přenesená",$N$124,0)</f>
        <v>0</v>
      </c>
      <c r="BI124" s="89">
        <f>IF($U$124="nulová",$N$124,0)</f>
        <v>0</v>
      </c>
      <c r="BJ124" s="7" t="s">
        <v>16</v>
      </c>
      <c r="BK124" s="89">
        <f>ROUND($L$124*$K$124,2)</f>
        <v>0</v>
      </c>
      <c r="BL124" s="7" t="s">
        <v>167</v>
      </c>
    </row>
    <row r="125" spans="2:51" s="7" customFormat="1" ht="15.75" customHeight="1">
      <c r="B125" s="142"/>
      <c r="C125" s="143"/>
      <c r="D125" s="143"/>
      <c r="E125" s="143"/>
      <c r="F125" s="215" t="s">
        <v>772</v>
      </c>
      <c r="G125" s="216"/>
      <c r="H125" s="216"/>
      <c r="I125" s="216"/>
      <c r="J125" s="143"/>
      <c r="K125" s="144">
        <v>10.8</v>
      </c>
      <c r="L125" s="143"/>
      <c r="M125" s="143"/>
      <c r="N125" s="143"/>
      <c r="O125" s="143"/>
      <c r="P125" s="143"/>
      <c r="Q125" s="143"/>
      <c r="R125" s="145"/>
      <c r="T125" s="146"/>
      <c r="U125" s="143"/>
      <c r="V125" s="143"/>
      <c r="W125" s="143"/>
      <c r="X125" s="143"/>
      <c r="Y125" s="143"/>
      <c r="Z125" s="143"/>
      <c r="AA125" s="147"/>
      <c r="AT125" s="148" t="s">
        <v>169</v>
      </c>
      <c r="AU125" s="148" t="s">
        <v>106</v>
      </c>
      <c r="AV125" s="148" t="s">
        <v>106</v>
      </c>
      <c r="AW125" s="148" t="s">
        <v>114</v>
      </c>
      <c r="AX125" s="148" t="s">
        <v>16</v>
      </c>
      <c r="AY125" s="148" t="s">
        <v>161</v>
      </c>
    </row>
    <row r="126" spans="2:63" s="124" customFormat="1" ht="30.75" customHeight="1">
      <c r="B126" s="125"/>
      <c r="C126" s="126"/>
      <c r="D126" s="134" t="s">
        <v>769</v>
      </c>
      <c r="E126" s="126"/>
      <c r="F126" s="126"/>
      <c r="G126" s="126"/>
      <c r="H126" s="126"/>
      <c r="I126" s="126"/>
      <c r="J126" s="126"/>
      <c r="K126" s="126"/>
      <c r="L126" s="126"/>
      <c r="M126" s="126"/>
      <c r="N126" s="206">
        <f>$BK$126</f>
        <v>0</v>
      </c>
      <c r="O126" s="207"/>
      <c r="P126" s="207"/>
      <c r="Q126" s="207"/>
      <c r="R126" s="128"/>
      <c r="T126" s="129"/>
      <c r="U126" s="126"/>
      <c r="V126" s="126"/>
      <c r="W126" s="130">
        <f>SUM($W$127:$W$128)</f>
        <v>4.168800000000001</v>
      </c>
      <c r="X126" s="126"/>
      <c r="Y126" s="130">
        <f>SUM($Y$127:$Y$128)</f>
        <v>5.431968000000001</v>
      </c>
      <c r="Z126" s="126"/>
      <c r="AA126" s="131">
        <f>SUM($AA$127:$AA$128)</f>
        <v>0</v>
      </c>
      <c r="AR126" s="132" t="s">
        <v>16</v>
      </c>
      <c r="AT126" s="132" t="s">
        <v>75</v>
      </c>
      <c r="AU126" s="132" t="s">
        <v>16</v>
      </c>
      <c r="AY126" s="132" t="s">
        <v>161</v>
      </c>
      <c r="BK126" s="133">
        <f>SUM($BK$127:$BK$128)</f>
        <v>0</v>
      </c>
    </row>
    <row r="127" spans="2:64" s="7" customFormat="1" ht="15.75" customHeight="1">
      <c r="B127" s="23"/>
      <c r="C127" s="135" t="s">
        <v>106</v>
      </c>
      <c r="D127" s="135" t="s">
        <v>163</v>
      </c>
      <c r="E127" s="136" t="s">
        <v>773</v>
      </c>
      <c r="F127" s="217" t="s">
        <v>774</v>
      </c>
      <c r="G127" s="213"/>
      <c r="H127" s="213"/>
      <c r="I127" s="213"/>
      <c r="J127" s="137" t="s">
        <v>214</v>
      </c>
      <c r="K127" s="138">
        <v>10.8</v>
      </c>
      <c r="L127" s="212">
        <v>0</v>
      </c>
      <c r="M127" s="213"/>
      <c r="N127" s="214">
        <f>ROUND($L$127*$K$127,2)</f>
        <v>0</v>
      </c>
      <c r="O127" s="213"/>
      <c r="P127" s="213"/>
      <c r="Q127" s="213"/>
      <c r="R127" s="25"/>
      <c r="T127" s="139"/>
      <c r="U127" s="31" t="s">
        <v>41</v>
      </c>
      <c r="V127" s="140">
        <v>0.05</v>
      </c>
      <c r="W127" s="140">
        <f>$V$127*$K$127</f>
        <v>0.54</v>
      </c>
      <c r="X127" s="140">
        <v>0.20394</v>
      </c>
      <c r="Y127" s="140">
        <f>$X$127*$K$127</f>
        <v>2.2025520000000003</v>
      </c>
      <c r="Z127" s="140">
        <v>0</v>
      </c>
      <c r="AA127" s="141">
        <f>$Z$127*$K$127</f>
        <v>0</v>
      </c>
      <c r="AR127" s="7" t="s">
        <v>167</v>
      </c>
      <c r="AT127" s="7" t="s">
        <v>163</v>
      </c>
      <c r="AU127" s="7" t="s">
        <v>106</v>
      </c>
      <c r="AY127" s="7" t="s">
        <v>161</v>
      </c>
      <c r="BE127" s="89">
        <f>IF($U$127="základní",$N$127,0)</f>
        <v>0</v>
      </c>
      <c r="BF127" s="89">
        <f>IF($U$127="snížená",$N$127,0)</f>
        <v>0</v>
      </c>
      <c r="BG127" s="89">
        <f>IF($U$127="zákl. přenesená",$N$127,0)</f>
        <v>0</v>
      </c>
      <c r="BH127" s="89">
        <f>IF($U$127="sníž. přenesená",$N$127,0)</f>
        <v>0</v>
      </c>
      <c r="BI127" s="89">
        <f>IF($U$127="nulová",$N$127,0)</f>
        <v>0</v>
      </c>
      <c r="BJ127" s="7" t="s">
        <v>16</v>
      </c>
      <c r="BK127" s="89">
        <f>ROUND($L$127*$K$127,2)</f>
        <v>0</v>
      </c>
      <c r="BL127" s="7" t="s">
        <v>167</v>
      </c>
    </row>
    <row r="128" spans="2:64" s="7" customFormat="1" ht="27" customHeight="1">
      <c r="B128" s="23"/>
      <c r="C128" s="135" t="s">
        <v>516</v>
      </c>
      <c r="D128" s="135" t="s">
        <v>163</v>
      </c>
      <c r="E128" s="136" t="s">
        <v>775</v>
      </c>
      <c r="F128" s="217" t="s">
        <v>776</v>
      </c>
      <c r="G128" s="213"/>
      <c r="H128" s="213"/>
      <c r="I128" s="213"/>
      <c r="J128" s="137" t="s">
        <v>214</v>
      </c>
      <c r="K128" s="138">
        <v>10.8</v>
      </c>
      <c r="L128" s="212">
        <v>0</v>
      </c>
      <c r="M128" s="213"/>
      <c r="N128" s="214">
        <f>ROUND($L$128*$K$128,2)</f>
        <v>0</v>
      </c>
      <c r="O128" s="213"/>
      <c r="P128" s="213"/>
      <c r="Q128" s="213"/>
      <c r="R128" s="25"/>
      <c r="T128" s="139"/>
      <c r="U128" s="31" t="s">
        <v>41</v>
      </c>
      <c r="V128" s="140">
        <v>0.336</v>
      </c>
      <c r="W128" s="140">
        <f>$V$128*$K$128</f>
        <v>3.6288000000000005</v>
      </c>
      <c r="X128" s="140">
        <v>0.29902</v>
      </c>
      <c r="Y128" s="140">
        <f>$X$128*$K$128</f>
        <v>3.2294160000000005</v>
      </c>
      <c r="Z128" s="140">
        <v>0</v>
      </c>
      <c r="AA128" s="141">
        <f>$Z$128*$K$128</f>
        <v>0</v>
      </c>
      <c r="AR128" s="7" t="s">
        <v>167</v>
      </c>
      <c r="AT128" s="7" t="s">
        <v>163</v>
      </c>
      <c r="AU128" s="7" t="s">
        <v>106</v>
      </c>
      <c r="AY128" s="7" t="s">
        <v>161</v>
      </c>
      <c r="BE128" s="89">
        <f>IF($U$128="základní",$N$128,0)</f>
        <v>0</v>
      </c>
      <c r="BF128" s="89">
        <f>IF($U$128="snížená",$N$128,0)</f>
        <v>0</v>
      </c>
      <c r="BG128" s="89">
        <f>IF($U$128="zákl. přenesená",$N$128,0)</f>
        <v>0</v>
      </c>
      <c r="BH128" s="89">
        <f>IF($U$128="sníž. přenesená",$N$128,0)</f>
        <v>0</v>
      </c>
      <c r="BI128" s="89">
        <f>IF($U$128="nulová",$N$128,0)</f>
        <v>0</v>
      </c>
      <c r="BJ128" s="7" t="s">
        <v>16</v>
      </c>
      <c r="BK128" s="89">
        <f>ROUND($L$128*$K$128,2)</f>
        <v>0</v>
      </c>
      <c r="BL128" s="7" t="s">
        <v>167</v>
      </c>
    </row>
    <row r="129" spans="2:63" s="124" customFormat="1" ht="30.75" customHeight="1">
      <c r="B129" s="125"/>
      <c r="C129" s="126"/>
      <c r="D129" s="134" t="s">
        <v>121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206">
        <f>$BK$129</f>
        <v>0</v>
      </c>
      <c r="O129" s="207"/>
      <c r="P129" s="207"/>
      <c r="Q129" s="207"/>
      <c r="R129" s="128"/>
      <c r="T129" s="129"/>
      <c r="U129" s="126"/>
      <c r="V129" s="126"/>
      <c r="W129" s="130">
        <f>$W$130+$W$131+$W$132</f>
        <v>5.994879</v>
      </c>
      <c r="X129" s="126"/>
      <c r="Y129" s="130">
        <f>$Y$130+$Y$131+$Y$132</f>
        <v>0.039593970000000006</v>
      </c>
      <c r="Z129" s="126"/>
      <c r="AA129" s="131">
        <f>$AA$130+$AA$131+$AA$132</f>
        <v>0</v>
      </c>
      <c r="AR129" s="132" t="s">
        <v>16</v>
      </c>
      <c r="AT129" s="132" t="s">
        <v>75</v>
      </c>
      <c r="AU129" s="132" t="s">
        <v>16</v>
      </c>
      <c r="AY129" s="132" t="s">
        <v>161</v>
      </c>
      <c r="BK129" s="133">
        <f>$BK$130+$BK$131+$BK$132</f>
        <v>0</v>
      </c>
    </row>
    <row r="130" spans="2:64" s="7" customFormat="1" ht="27" customHeight="1">
      <c r="B130" s="23"/>
      <c r="C130" s="135" t="s">
        <v>167</v>
      </c>
      <c r="D130" s="135" t="s">
        <v>163</v>
      </c>
      <c r="E130" s="136" t="s">
        <v>777</v>
      </c>
      <c r="F130" s="217" t="s">
        <v>778</v>
      </c>
      <c r="G130" s="213"/>
      <c r="H130" s="213"/>
      <c r="I130" s="213"/>
      <c r="J130" s="137" t="s">
        <v>192</v>
      </c>
      <c r="K130" s="138">
        <v>0.039</v>
      </c>
      <c r="L130" s="212">
        <v>0</v>
      </c>
      <c r="M130" s="213"/>
      <c r="N130" s="214">
        <f>ROUND($L$130*$K$130,2)</f>
        <v>0</v>
      </c>
      <c r="O130" s="213"/>
      <c r="P130" s="213"/>
      <c r="Q130" s="213"/>
      <c r="R130" s="25"/>
      <c r="T130" s="139"/>
      <c r="U130" s="31" t="s">
        <v>41</v>
      </c>
      <c r="V130" s="140">
        <v>9.881</v>
      </c>
      <c r="W130" s="140">
        <f>$V$130*$K$130</f>
        <v>0.385359</v>
      </c>
      <c r="X130" s="140">
        <v>1.01523</v>
      </c>
      <c r="Y130" s="140">
        <f>$X$130*$K$130</f>
        <v>0.039593970000000006</v>
      </c>
      <c r="Z130" s="140">
        <v>0</v>
      </c>
      <c r="AA130" s="141">
        <f>$Z$130*$K$130</f>
        <v>0</v>
      </c>
      <c r="AR130" s="7" t="s">
        <v>167</v>
      </c>
      <c r="AT130" s="7" t="s">
        <v>163</v>
      </c>
      <c r="AU130" s="7" t="s">
        <v>106</v>
      </c>
      <c r="AY130" s="7" t="s">
        <v>161</v>
      </c>
      <c r="BE130" s="89">
        <f>IF($U$130="základní",$N$130,0)</f>
        <v>0</v>
      </c>
      <c r="BF130" s="89">
        <f>IF($U$130="snížená",$N$130,0)</f>
        <v>0</v>
      </c>
      <c r="BG130" s="89">
        <f>IF($U$130="zákl. přenesená",$N$130,0)</f>
        <v>0</v>
      </c>
      <c r="BH130" s="89">
        <f>IF($U$130="sníž. přenesená",$N$130,0)</f>
        <v>0</v>
      </c>
      <c r="BI130" s="89">
        <f>IF($U$130="nulová",$N$130,0)</f>
        <v>0</v>
      </c>
      <c r="BJ130" s="7" t="s">
        <v>16</v>
      </c>
      <c r="BK130" s="89">
        <f>ROUND($L$130*$K$130,2)</f>
        <v>0</v>
      </c>
      <c r="BL130" s="7" t="s">
        <v>167</v>
      </c>
    </row>
    <row r="131" spans="2:51" s="7" customFormat="1" ht="15.75" customHeight="1">
      <c r="B131" s="142"/>
      <c r="C131" s="143"/>
      <c r="D131" s="143"/>
      <c r="E131" s="143"/>
      <c r="F131" s="215" t="s">
        <v>779</v>
      </c>
      <c r="G131" s="216"/>
      <c r="H131" s="216"/>
      <c r="I131" s="216"/>
      <c r="J131" s="143"/>
      <c r="K131" s="144">
        <v>0.039</v>
      </c>
      <c r="L131" s="143"/>
      <c r="M131" s="143"/>
      <c r="N131" s="143"/>
      <c r="O131" s="143"/>
      <c r="P131" s="143"/>
      <c r="Q131" s="143"/>
      <c r="R131" s="145"/>
      <c r="T131" s="146"/>
      <c r="U131" s="143"/>
      <c r="V131" s="143"/>
      <c r="W131" s="143"/>
      <c r="X131" s="143"/>
      <c r="Y131" s="143"/>
      <c r="Z131" s="143"/>
      <c r="AA131" s="147"/>
      <c r="AT131" s="148" t="s">
        <v>169</v>
      </c>
      <c r="AU131" s="148" t="s">
        <v>106</v>
      </c>
      <c r="AV131" s="148" t="s">
        <v>106</v>
      </c>
      <c r="AW131" s="148" t="s">
        <v>114</v>
      </c>
      <c r="AX131" s="148" t="s">
        <v>16</v>
      </c>
      <c r="AY131" s="148" t="s">
        <v>161</v>
      </c>
    </row>
    <row r="132" spans="2:63" s="124" customFormat="1" ht="23.25" customHeight="1">
      <c r="B132" s="125"/>
      <c r="C132" s="126"/>
      <c r="D132" s="134" t="s">
        <v>122</v>
      </c>
      <c r="E132" s="126"/>
      <c r="F132" s="126"/>
      <c r="G132" s="126"/>
      <c r="H132" s="126"/>
      <c r="I132" s="126"/>
      <c r="J132" s="126"/>
      <c r="K132" s="126"/>
      <c r="L132" s="126"/>
      <c r="M132" s="126"/>
      <c r="N132" s="206">
        <f>$BK$132</f>
        <v>0</v>
      </c>
      <c r="O132" s="207"/>
      <c r="P132" s="207"/>
      <c r="Q132" s="207"/>
      <c r="R132" s="128"/>
      <c r="T132" s="129"/>
      <c r="U132" s="126"/>
      <c r="V132" s="126"/>
      <c r="W132" s="130">
        <f>SUM($W$133:$W$137)</f>
        <v>5.60952</v>
      </c>
      <c r="X132" s="126"/>
      <c r="Y132" s="130">
        <f>SUM($Y$133:$Y$137)</f>
        <v>0</v>
      </c>
      <c r="Z132" s="126"/>
      <c r="AA132" s="131">
        <f>SUM($AA$133:$AA$137)</f>
        <v>0</v>
      </c>
      <c r="AR132" s="132" t="s">
        <v>16</v>
      </c>
      <c r="AT132" s="132" t="s">
        <v>75</v>
      </c>
      <c r="AU132" s="132" t="s">
        <v>106</v>
      </c>
      <c r="AY132" s="132" t="s">
        <v>161</v>
      </c>
      <c r="BK132" s="133">
        <f>SUM($BK$133:$BK$137)</f>
        <v>0</v>
      </c>
    </row>
    <row r="133" spans="2:64" s="7" customFormat="1" ht="27" customHeight="1">
      <c r="B133" s="23"/>
      <c r="C133" s="135" t="s">
        <v>476</v>
      </c>
      <c r="D133" s="135" t="s">
        <v>163</v>
      </c>
      <c r="E133" s="136" t="s">
        <v>780</v>
      </c>
      <c r="F133" s="217" t="s">
        <v>781</v>
      </c>
      <c r="G133" s="213"/>
      <c r="H133" s="213"/>
      <c r="I133" s="213"/>
      <c r="J133" s="137" t="s">
        <v>192</v>
      </c>
      <c r="K133" s="138">
        <v>2.754</v>
      </c>
      <c r="L133" s="212">
        <v>0</v>
      </c>
      <c r="M133" s="213"/>
      <c r="N133" s="214">
        <f>ROUND($L$133*$K$133,2)</f>
        <v>0</v>
      </c>
      <c r="O133" s="213"/>
      <c r="P133" s="213"/>
      <c r="Q133" s="213"/>
      <c r="R133" s="25"/>
      <c r="T133" s="139"/>
      <c r="U133" s="31" t="s">
        <v>41</v>
      </c>
      <c r="V133" s="140">
        <v>0.03</v>
      </c>
      <c r="W133" s="140">
        <f>$V$133*$K$133</f>
        <v>0.08262</v>
      </c>
      <c r="X133" s="140">
        <v>0</v>
      </c>
      <c r="Y133" s="140">
        <f>$X$133*$K$133</f>
        <v>0</v>
      </c>
      <c r="Z133" s="140">
        <v>0</v>
      </c>
      <c r="AA133" s="141">
        <f>$Z$133*$K$133</f>
        <v>0</v>
      </c>
      <c r="AR133" s="7" t="s">
        <v>167</v>
      </c>
      <c r="AT133" s="7" t="s">
        <v>163</v>
      </c>
      <c r="AU133" s="7" t="s">
        <v>516</v>
      </c>
      <c r="AY133" s="7" t="s">
        <v>161</v>
      </c>
      <c r="BE133" s="89">
        <f>IF($U$133="základní",$N$133,0)</f>
        <v>0</v>
      </c>
      <c r="BF133" s="89">
        <f>IF($U$133="snížená",$N$133,0)</f>
        <v>0</v>
      </c>
      <c r="BG133" s="89">
        <f>IF($U$133="zákl. přenesená",$N$133,0)</f>
        <v>0</v>
      </c>
      <c r="BH133" s="89">
        <f>IF($U$133="sníž. přenesená",$N$133,0)</f>
        <v>0</v>
      </c>
      <c r="BI133" s="89">
        <f>IF($U$133="nulová",$N$133,0)</f>
        <v>0</v>
      </c>
      <c r="BJ133" s="7" t="s">
        <v>16</v>
      </c>
      <c r="BK133" s="89">
        <f>ROUND($L$133*$K$133,2)</f>
        <v>0</v>
      </c>
      <c r="BL133" s="7" t="s">
        <v>167</v>
      </c>
    </row>
    <row r="134" spans="2:64" s="7" customFormat="1" ht="27" customHeight="1">
      <c r="B134" s="23"/>
      <c r="C134" s="135" t="s">
        <v>204</v>
      </c>
      <c r="D134" s="135" t="s">
        <v>163</v>
      </c>
      <c r="E134" s="136" t="s">
        <v>782</v>
      </c>
      <c r="F134" s="217" t="s">
        <v>783</v>
      </c>
      <c r="G134" s="213"/>
      <c r="H134" s="213"/>
      <c r="I134" s="213"/>
      <c r="J134" s="137" t="s">
        <v>192</v>
      </c>
      <c r="K134" s="138">
        <v>13.77</v>
      </c>
      <c r="L134" s="212">
        <v>0</v>
      </c>
      <c r="M134" s="213"/>
      <c r="N134" s="214">
        <f>ROUND($L$134*$K$134,2)</f>
        <v>0</v>
      </c>
      <c r="O134" s="213"/>
      <c r="P134" s="213"/>
      <c r="Q134" s="213"/>
      <c r="R134" s="25"/>
      <c r="T134" s="139"/>
      <c r="U134" s="31" t="s">
        <v>41</v>
      </c>
      <c r="V134" s="140">
        <v>0.002</v>
      </c>
      <c r="W134" s="140">
        <f>$V$134*$K$134</f>
        <v>0.02754</v>
      </c>
      <c r="X134" s="140">
        <v>0</v>
      </c>
      <c r="Y134" s="140">
        <f>$X$134*$K$134</f>
        <v>0</v>
      </c>
      <c r="Z134" s="140">
        <v>0</v>
      </c>
      <c r="AA134" s="141">
        <f>$Z$134*$K$134</f>
        <v>0</v>
      </c>
      <c r="AR134" s="7" t="s">
        <v>167</v>
      </c>
      <c r="AT134" s="7" t="s">
        <v>163</v>
      </c>
      <c r="AU134" s="7" t="s">
        <v>516</v>
      </c>
      <c r="AY134" s="7" t="s">
        <v>161</v>
      </c>
      <c r="BE134" s="89">
        <f>IF($U$134="základní",$N$134,0)</f>
        <v>0</v>
      </c>
      <c r="BF134" s="89">
        <f>IF($U$134="snížená",$N$134,0)</f>
        <v>0</v>
      </c>
      <c r="BG134" s="89">
        <f>IF($U$134="zákl. přenesená",$N$134,0)</f>
        <v>0</v>
      </c>
      <c r="BH134" s="89">
        <f>IF($U$134="sníž. přenesená",$N$134,0)</f>
        <v>0</v>
      </c>
      <c r="BI134" s="89">
        <f>IF($U$134="nulová",$N$134,0)</f>
        <v>0</v>
      </c>
      <c r="BJ134" s="7" t="s">
        <v>16</v>
      </c>
      <c r="BK134" s="89">
        <f>ROUND($L$134*$K$134,2)</f>
        <v>0</v>
      </c>
      <c r="BL134" s="7" t="s">
        <v>167</v>
      </c>
    </row>
    <row r="135" spans="2:51" s="7" customFormat="1" ht="15.75" customHeight="1">
      <c r="B135" s="142"/>
      <c r="C135" s="143"/>
      <c r="D135" s="143"/>
      <c r="E135" s="143"/>
      <c r="F135" s="215" t="s">
        <v>784</v>
      </c>
      <c r="G135" s="216"/>
      <c r="H135" s="216"/>
      <c r="I135" s="216"/>
      <c r="J135" s="143"/>
      <c r="K135" s="144">
        <v>13.77</v>
      </c>
      <c r="L135" s="143"/>
      <c r="M135" s="143"/>
      <c r="N135" s="143"/>
      <c r="O135" s="143"/>
      <c r="P135" s="143"/>
      <c r="Q135" s="143"/>
      <c r="R135" s="145"/>
      <c r="T135" s="146"/>
      <c r="U135" s="143"/>
      <c r="V135" s="143"/>
      <c r="W135" s="143"/>
      <c r="X135" s="143"/>
      <c r="Y135" s="143"/>
      <c r="Z135" s="143"/>
      <c r="AA135" s="147"/>
      <c r="AT135" s="148" t="s">
        <v>169</v>
      </c>
      <c r="AU135" s="148" t="s">
        <v>516</v>
      </c>
      <c r="AV135" s="148" t="s">
        <v>106</v>
      </c>
      <c r="AW135" s="148" t="s">
        <v>114</v>
      </c>
      <c r="AX135" s="148" t="s">
        <v>16</v>
      </c>
      <c r="AY135" s="148" t="s">
        <v>161</v>
      </c>
    </row>
    <row r="136" spans="2:64" s="7" customFormat="1" ht="27" customHeight="1">
      <c r="B136" s="23"/>
      <c r="C136" s="135" t="s">
        <v>428</v>
      </c>
      <c r="D136" s="135" t="s">
        <v>163</v>
      </c>
      <c r="E136" s="136" t="s">
        <v>785</v>
      </c>
      <c r="F136" s="217" t="s">
        <v>786</v>
      </c>
      <c r="G136" s="213"/>
      <c r="H136" s="213"/>
      <c r="I136" s="213"/>
      <c r="J136" s="137" t="s">
        <v>192</v>
      </c>
      <c r="K136" s="138">
        <v>2.754</v>
      </c>
      <c r="L136" s="212">
        <v>0</v>
      </c>
      <c r="M136" s="213"/>
      <c r="N136" s="214">
        <f>ROUND($L$136*$K$136,2)</f>
        <v>0</v>
      </c>
      <c r="O136" s="213"/>
      <c r="P136" s="213"/>
      <c r="Q136" s="213"/>
      <c r="R136" s="25"/>
      <c r="T136" s="139"/>
      <c r="U136" s="31" t="s">
        <v>41</v>
      </c>
      <c r="V136" s="140">
        <v>0</v>
      </c>
      <c r="W136" s="140">
        <f>$V$136*$K$136</f>
        <v>0</v>
      </c>
      <c r="X136" s="140">
        <v>0</v>
      </c>
      <c r="Y136" s="140">
        <f>$X$136*$K$136</f>
        <v>0</v>
      </c>
      <c r="Z136" s="140">
        <v>0</v>
      </c>
      <c r="AA136" s="141">
        <f>$Z$136*$K$136</f>
        <v>0</v>
      </c>
      <c r="AR136" s="7" t="s">
        <v>167</v>
      </c>
      <c r="AT136" s="7" t="s">
        <v>163</v>
      </c>
      <c r="AU136" s="7" t="s">
        <v>516</v>
      </c>
      <c r="AY136" s="7" t="s">
        <v>161</v>
      </c>
      <c r="BE136" s="89">
        <f>IF($U$136="základní",$N$136,0)</f>
        <v>0</v>
      </c>
      <c r="BF136" s="89">
        <f>IF($U$136="snížená",$N$136,0)</f>
        <v>0</v>
      </c>
      <c r="BG136" s="89">
        <f>IF($U$136="zákl. přenesená",$N$136,0)</f>
        <v>0</v>
      </c>
      <c r="BH136" s="89">
        <f>IF($U$136="sníž. přenesená",$N$136,0)</f>
        <v>0</v>
      </c>
      <c r="BI136" s="89">
        <f>IF($U$136="nulová",$N$136,0)</f>
        <v>0</v>
      </c>
      <c r="BJ136" s="7" t="s">
        <v>16</v>
      </c>
      <c r="BK136" s="89">
        <f>ROUND($L$136*$K$136,2)</f>
        <v>0</v>
      </c>
      <c r="BL136" s="7" t="s">
        <v>167</v>
      </c>
    </row>
    <row r="137" spans="2:64" s="7" customFormat="1" ht="39" customHeight="1">
      <c r="B137" s="23"/>
      <c r="C137" s="135" t="s">
        <v>482</v>
      </c>
      <c r="D137" s="135" t="s">
        <v>163</v>
      </c>
      <c r="E137" s="136" t="s">
        <v>787</v>
      </c>
      <c r="F137" s="217" t="s">
        <v>788</v>
      </c>
      <c r="G137" s="213"/>
      <c r="H137" s="213"/>
      <c r="I137" s="213"/>
      <c r="J137" s="137" t="s">
        <v>192</v>
      </c>
      <c r="K137" s="138">
        <v>5.472</v>
      </c>
      <c r="L137" s="212">
        <v>0</v>
      </c>
      <c r="M137" s="213"/>
      <c r="N137" s="214">
        <f>ROUND($L$137*$K$137,2)</f>
        <v>0</v>
      </c>
      <c r="O137" s="213"/>
      <c r="P137" s="213"/>
      <c r="Q137" s="213"/>
      <c r="R137" s="25"/>
      <c r="T137" s="139"/>
      <c r="U137" s="31" t="s">
        <v>41</v>
      </c>
      <c r="V137" s="140">
        <v>1.005</v>
      </c>
      <c r="W137" s="140">
        <f>$V$137*$K$137</f>
        <v>5.49936</v>
      </c>
      <c r="X137" s="140">
        <v>0</v>
      </c>
      <c r="Y137" s="140">
        <f>$X$137*$K$137</f>
        <v>0</v>
      </c>
      <c r="Z137" s="140">
        <v>0</v>
      </c>
      <c r="AA137" s="141">
        <f>$Z$137*$K$137</f>
        <v>0</v>
      </c>
      <c r="AR137" s="7" t="s">
        <v>167</v>
      </c>
      <c r="AT137" s="7" t="s">
        <v>163</v>
      </c>
      <c r="AU137" s="7" t="s">
        <v>516</v>
      </c>
      <c r="AY137" s="7" t="s">
        <v>161</v>
      </c>
      <c r="BE137" s="89">
        <f>IF($U$137="základní",$N$137,0)</f>
        <v>0</v>
      </c>
      <c r="BF137" s="89">
        <f>IF($U$137="snížená",$N$137,0)</f>
        <v>0</v>
      </c>
      <c r="BG137" s="89">
        <f>IF($U$137="zákl. přenesená",$N$137,0)</f>
        <v>0</v>
      </c>
      <c r="BH137" s="89">
        <f>IF($U$137="sníž. přenesená",$N$137,0)</f>
        <v>0</v>
      </c>
      <c r="BI137" s="89">
        <f>IF($U$137="nulová",$N$137,0)</f>
        <v>0</v>
      </c>
      <c r="BJ137" s="7" t="s">
        <v>16</v>
      </c>
      <c r="BK137" s="89">
        <f>ROUND($L$137*$K$137,2)</f>
        <v>0</v>
      </c>
      <c r="BL137" s="7" t="s">
        <v>167</v>
      </c>
    </row>
    <row r="138" spans="2:63" s="7" customFormat="1" ht="51" customHeight="1">
      <c r="B138" s="23"/>
      <c r="C138" s="24"/>
      <c r="D138" s="127" t="s">
        <v>767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08">
        <f>$BK$138</f>
        <v>0</v>
      </c>
      <c r="O138" s="170"/>
      <c r="P138" s="170"/>
      <c r="Q138" s="170"/>
      <c r="R138" s="25"/>
      <c r="T138" s="60"/>
      <c r="U138" s="24"/>
      <c r="V138" s="24"/>
      <c r="W138" s="24"/>
      <c r="X138" s="24"/>
      <c r="Y138" s="24"/>
      <c r="Z138" s="24"/>
      <c r="AA138" s="61"/>
      <c r="AT138" s="7" t="s">
        <v>75</v>
      </c>
      <c r="AU138" s="7" t="s">
        <v>76</v>
      </c>
      <c r="AY138" s="7" t="s">
        <v>768</v>
      </c>
      <c r="BK138" s="89">
        <f>SUM($BK$139:$BK$143)</f>
        <v>0</v>
      </c>
    </row>
    <row r="139" spans="2:63" s="7" customFormat="1" ht="23.25" customHeight="1">
      <c r="B139" s="23"/>
      <c r="C139" s="160"/>
      <c r="D139" s="160" t="s">
        <v>163</v>
      </c>
      <c r="E139" s="161"/>
      <c r="F139" s="210"/>
      <c r="G139" s="211"/>
      <c r="H139" s="211"/>
      <c r="I139" s="211"/>
      <c r="J139" s="162"/>
      <c r="K139" s="163"/>
      <c r="L139" s="212"/>
      <c r="M139" s="213"/>
      <c r="N139" s="214">
        <f>$BK$139</f>
        <v>0</v>
      </c>
      <c r="O139" s="213"/>
      <c r="P139" s="213"/>
      <c r="Q139" s="213"/>
      <c r="R139" s="25"/>
      <c r="T139" s="139"/>
      <c r="U139" s="164" t="s">
        <v>41</v>
      </c>
      <c r="V139" s="24"/>
      <c r="W139" s="24"/>
      <c r="X139" s="24"/>
      <c r="Y139" s="24"/>
      <c r="Z139" s="24"/>
      <c r="AA139" s="61"/>
      <c r="AT139" s="7" t="s">
        <v>768</v>
      </c>
      <c r="AU139" s="7" t="s">
        <v>16</v>
      </c>
      <c r="AY139" s="7" t="s">
        <v>768</v>
      </c>
      <c r="BE139" s="89">
        <f>IF($U$139="základní",$N$139,0)</f>
        <v>0</v>
      </c>
      <c r="BF139" s="89">
        <f>IF($U$139="snížená",$N$139,0)</f>
        <v>0</v>
      </c>
      <c r="BG139" s="89">
        <f>IF($U$139="zákl. přenesená",$N$139,0)</f>
        <v>0</v>
      </c>
      <c r="BH139" s="89">
        <f>IF($U$139="sníž. přenesená",$N$139,0)</f>
        <v>0</v>
      </c>
      <c r="BI139" s="89">
        <f>IF($U$139="nulová",$N$139,0)</f>
        <v>0</v>
      </c>
      <c r="BJ139" s="7" t="s">
        <v>16</v>
      </c>
      <c r="BK139" s="89">
        <f>$L$139*$K$139</f>
        <v>0</v>
      </c>
    </row>
    <row r="140" spans="2:63" s="7" customFormat="1" ht="23.25" customHeight="1">
      <c r="B140" s="23"/>
      <c r="C140" s="160"/>
      <c r="D140" s="160" t="s">
        <v>163</v>
      </c>
      <c r="E140" s="161"/>
      <c r="F140" s="210"/>
      <c r="G140" s="211"/>
      <c r="H140" s="211"/>
      <c r="I140" s="211"/>
      <c r="J140" s="162"/>
      <c r="K140" s="163"/>
      <c r="L140" s="212"/>
      <c r="M140" s="213"/>
      <c r="N140" s="214">
        <f>$BK$140</f>
        <v>0</v>
      </c>
      <c r="O140" s="213"/>
      <c r="P140" s="213"/>
      <c r="Q140" s="213"/>
      <c r="R140" s="25"/>
      <c r="T140" s="139"/>
      <c r="U140" s="164" t="s">
        <v>41</v>
      </c>
      <c r="V140" s="24"/>
      <c r="W140" s="24"/>
      <c r="X140" s="24"/>
      <c r="Y140" s="24"/>
      <c r="Z140" s="24"/>
      <c r="AA140" s="61"/>
      <c r="AT140" s="7" t="s">
        <v>768</v>
      </c>
      <c r="AU140" s="7" t="s">
        <v>16</v>
      </c>
      <c r="AY140" s="7" t="s">
        <v>768</v>
      </c>
      <c r="BE140" s="89">
        <f>IF($U$140="základní",$N$140,0)</f>
        <v>0</v>
      </c>
      <c r="BF140" s="89">
        <f>IF($U$140="snížená",$N$140,0)</f>
        <v>0</v>
      </c>
      <c r="BG140" s="89">
        <f>IF($U$140="zákl. přenesená",$N$140,0)</f>
        <v>0</v>
      </c>
      <c r="BH140" s="89">
        <f>IF($U$140="sníž. přenesená",$N$140,0)</f>
        <v>0</v>
      </c>
      <c r="BI140" s="89">
        <f>IF($U$140="nulová",$N$140,0)</f>
        <v>0</v>
      </c>
      <c r="BJ140" s="7" t="s">
        <v>16</v>
      </c>
      <c r="BK140" s="89">
        <f>$L$140*$K$140</f>
        <v>0</v>
      </c>
    </row>
    <row r="141" spans="2:63" s="7" customFormat="1" ht="23.25" customHeight="1">
      <c r="B141" s="23"/>
      <c r="C141" s="160"/>
      <c r="D141" s="160" t="s">
        <v>163</v>
      </c>
      <c r="E141" s="161"/>
      <c r="F141" s="210"/>
      <c r="G141" s="211"/>
      <c r="H141" s="211"/>
      <c r="I141" s="211"/>
      <c r="J141" s="162"/>
      <c r="K141" s="163"/>
      <c r="L141" s="212"/>
      <c r="M141" s="213"/>
      <c r="N141" s="214">
        <f>$BK$141</f>
        <v>0</v>
      </c>
      <c r="O141" s="213"/>
      <c r="P141" s="213"/>
      <c r="Q141" s="213"/>
      <c r="R141" s="25"/>
      <c r="T141" s="139"/>
      <c r="U141" s="164" t="s">
        <v>41</v>
      </c>
      <c r="V141" s="24"/>
      <c r="W141" s="24"/>
      <c r="X141" s="24"/>
      <c r="Y141" s="24"/>
      <c r="Z141" s="24"/>
      <c r="AA141" s="61"/>
      <c r="AT141" s="7" t="s">
        <v>768</v>
      </c>
      <c r="AU141" s="7" t="s">
        <v>16</v>
      </c>
      <c r="AY141" s="7" t="s">
        <v>768</v>
      </c>
      <c r="BE141" s="89">
        <f>IF($U$141="základní",$N$141,0)</f>
        <v>0</v>
      </c>
      <c r="BF141" s="89">
        <f>IF($U$141="snížená",$N$141,0)</f>
        <v>0</v>
      </c>
      <c r="BG141" s="89">
        <f>IF($U$141="zákl. přenesená",$N$141,0)</f>
        <v>0</v>
      </c>
      <c r="BH141" s="89">
        <f>IF($U$141="sníž. přenesená",$N$141,0)</f>
        <v>0</v>
      </c>
      <c r="BI141" s="89">
        <f>IF($U$141="nulová",$N$141,0)</f>
        <v>0</v>
      </c>
      <c r="BJ141" s="7" t="s">
        <v>16</v>
      </c>
      <c r="BK141" s="89">
        <f>$L$141*$K$141</f>
        <v>0</v>
      </c>
    </row>
    <row r="142" spans="2:63" s="7" customFormat="1" ht="23.25" customHeight="1">
      <c r="B142" s="23"/>
      <c r="C142" s="160"/>
      <c r="D142" s="160" t="s">
        <v>163</v>
      </c>
      <c r="E142" s="161"/>
      <c r="F142" s="210"/>
      <c r="G142" s="211"/>
      <c r="H142" s="211"/>
      <c r="I142" s="211"/>
      <c r="J142" s="162"/>
      <c r="K142" s="163"/>
      <c r="L142" s="212"/>
      <c r="M142" s="213"/>
      <c r="N142" s="214">
        <f>$BK$142</f>
        <v>0</v>
      </c>
      <c r="O142" s="213"/>
      <c r="P142" s="213"/>
      <c r="Q142" s="213"/>
      <c r="R142" s="25"/>
      <c r="T142" s="139"/>
      <c r="U142" s="164" t="s">
        <v>41</v>
      </c>
      <c r="V142" s="24"/>
      <c r="W142" s="24"/>
      <c r="X142" s="24"/>
      <c r="Y142" s="24"/>
      <c r="Z142" s="24"/>
      <c r="AA142" s="61"/>
      <c r="AT142" s="7" t="s">
        <v>768</v>
      </c>
      <c r="AU142" s="7" t="s">
        <v>16</v>
      </c>
      <c r="AY142" s="7" t="s">
        <v>768</v>
      </c>
      <c r="BE142" s="89">
        <f>IF($U$142="základní",$N$142,0)</f>
        <v>0</v>
      </c>
      <c r="BF142" s="89">
        <f>IF($U$142="snížená",$N$142,0)</f>
        <v>0</v>
      </c>
      <c r="BG142" s="89">
        <f>IF($U$142="zákl. přenesená",$N$142,0)</f>
        <v>0</v>
      </c>
      <c r="BH142" s="89">
        <f>IF($U$142="sníž. přenesená",$N$142,0)</f>
        <v>0</v>
      </c>
      <c r="BI142" s="89">
        <f>IF($U$142="nulová",$N$142,0)</f>
        <v>0</v>
      </c>
      <c r="BJ142" s="7" t="s">
        <v>16</v>
      </c>
      <c r="BK142" s="89">
        <f>$L$142*$K$142</f>
        <v>0</v>
      </c>
    </row>
    <row r="143" spans="2:63" s="7" customFormat="1" ht="23.25" customHeight="1">
      <c r="B143" s="23"/>
      <c r="C143" s="160"/>
      <c r="D143" s="160" t="s">
        <v>163</v>
      </c>
      <c r="E143" s="161"/>
      <c r="F143" s="210"/>
      <c r="G143" s="211"/>
      <c r="H143" s="211"/>
      <c r="I143" s="211"/>
      <c r="J143" s="162"/>
      <c r="K143" s="163"/>
      <c r="L143" s="212"/>
      <c r="M143" s="213"/>
      <c r="N143" s="214">
        <f>$BK$143</f>
        <v>0</v>
      </c>
      <c r="O143" s="213"/>
      <c r="P143" s="213"/>
      <c r="Q143" s="213"/>
      <c r="R143" s="25"/>
      <c r="T143" s="139"/>
      <c r="U143" s="164" t="s">
        <v>41</v>
      </c>
      <c r="V143" s="43"/>
      <c r="W143" s="43"/>
      <c r="X143" s="43"/>
      <c r="Y143" s="43"/>
      <c r="Z143" s="43"/>
      <c r="AA143" s="45"/>
      <c r="AT143" s="7" t="s">
        <v>768</v>
      </c>
      <c r="AU143" s="7" t="s">
        <v>16</v>
      </c>
      <c r="AY143" s="7" t="s">
        <v>768</v>
      </c>
      <c r="BE143" s="89">
        <f>IF($U$143="základní",$N$143,0)</f>
        <v>0</v>
      </c>
      <c r="BF143" s="89">
        <f>IF($U$143="snížená",$N$143,0)</f>
        <v>0</v>
      </c>
      <c r="BG143" s="89">
        <f>IF($U$143="zákl. přenesená",$N$143,0)</f>
        <v>0</v>
      </c>
      <c r="BH143" s="89">
        <f>IF($U$143="sníž. přenesená",$N$143,0)</f>
        <v>0</v>
      </c>
      <c r="BI143" s="89">
        <f>IF($U$143="nulová",$N$143,0)</f>
        <v>0</v>
      </c>
      <c r="BJ143" s="7" t="s">
        <v>16</v>
      </c>
      <c r="BK143" s="89">
        <f>$L$143*$K$143</f>
        <v>0</v>
      </c>
    </row>
    <row r="144" spans="2:18" s="7" customFormat="1" ht="7.5" customHeight="1"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8"/>
    </row>
    <row r="524" s="2" customFormat="1" ht="14.25" customHeight="1"/>
  </sheetData>
  <sheetProtection/>
  <mergeCells count="1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23:Q123"/>
    <mergeCell ref="F125:I125"/>
    <mergeCell ref="F127:I127"/>
    <mergeCell ref="L127:M127"/>
    <mergeCell ref="N127:Q127"/>
    <mergeCell ref="F128:I128"/>
    <mergeCell ref="L128:M128"/>
    <mergeCell ref="N128:Q128"/>
    <mergeCell ref="N126:Q126"/>
    <mergeCell ref="N136:Q136"/>
    <mergeCell ref="F130:I130"/>
    <mergeCell ref="L130:M130"/>
    <mergeCell ref="N130:Q130"/>
    <mergeCell ref="F131:I131"/>
    <mergeCell ref="F133:I133"/>
    <mergeCell ref="L133:M133"/>
    <mergeCell ref="N133:Q133"/>
    <mergeCell ref="N137:Q137"/>
    <mergeCell ref="F139:I139"/>
    <mergeCell ref="L139:M139"/>
    <mergeCell ref="N139:Q139"/>
    <mergeCell ref="F134:I134"/>
    <mergeCell ref="L134:M134"/>
    <mergeCell ref="N134:Q134"/>
    <mergeCell ref="F135:I135"/>
    <mergeCell ref="F136:I136"/>
    <mergeCell ref="L136:M136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N129:Q129"/>
    <mergeCell ref="N132:Q132"/>
    <mergeCell ref="N138:Q138"/>
    <mergeCell ref="H1:K1"/>
    <mergeCell ref="S2:AC2"/>
    <mergeCell ref="F142:I142"/>
    <mergeCell ref="L142:M142"/>
    <mergeCell ref="N142:Q142"/>
    <mergeCell ref="F137:I137"/>
    <mergeCell ref="L137:M137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Jaromír Kratěna</cp:lastModifiedBy>
  <dcterms:modified xsi:type="dcterms:W3CDTF">2013-09-23T14:24:48Z</dcterms:modified>
  <cp:category/>
  <cp:version/>
  <cp:contentType/>
  <cp:contentStatus/>
</cp:coreProperties>
</file>